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3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A:\CAP Rate Studies\CAP RATE STUDY 2026\2026 CAP Rate Study - All Industries - Worksheets\publish to website\"/>
    </mc:Choice>
  </mc:AlternateContent>
  <xr:revisionPtr revIDLastSave="0" documentId="8_{750FC0E7-7EF8-4CEF-89AE-F3A6F290431A}" xr6:coauthVersionLast="47" xr6:coauthVersionMax="47" xr10:uidLastSave="{00000000-0000-0000-0000-000000000000}"/>
  <bookViews>
    <workbookView xWindow="-24120" yWindow="-120" windowWidth="24240" windowHeight="13020" tabRatio="871" firstSheet="14" activeTab="18" xr2:uid="{00000000-000D-0000-FFFF-FFFF00000000}"/>
  </bookViews>
  <sheets>
    <sheet name="Cover Sheet" sheetId="6" r:id="rId1"/>
    <sheet name="Yield CapRate" sheetId="7" r:id="rId2"/>
    <sheet name="Direct CapRates" sheetId="10" r:id="rId3"/>
    <sheet name="S&amp;D" sheetId="3" r:id="rId4"/>
    <sheet name="Market to Book Ratios" sheetId="29" r:id="rId5"/>
    <sheet name="Maintenance CapEx" sheetId="11" r:id="rId6"/>
    <sheet name="Beta for CAPM" sheetId="14" r:id="rId7"/>
    <sheet name="Dividends " sheetId="17" r:id="rId8"/>
    <sheet name="Earnings" sheetId="27" r:id="rId9"/>
    <sheet name="Debt" sheetId="8" r:id="rId10"/>
    <sheet name="Direct GCF" sheetId="5" r:id="rId11"/>
    <sheet name="Direct NOPAT" sheetId="12" r:id="rId12"/>
    <sheet name="CAPM" sheetId="34" r:id="rId13"/>
    <sheet name="Growth &amp; Inflation Rates" sheetId="38" r:id="rId14"/>
    <sheet name="Indicated Yield Equity Rate " sheetId="33" r:id="rId15"/>
    <sheet name="Single Stage Div Growth Model" sheetId="19" r:id="rId16"/>
    <sheet name="Two-Stage Div Growth Model" sheetId="20" r:id="rId17"/>
    <sheet name="Multiples" sheetId="25" r:id="rId18"/>
    <sheet name="Info" sheetId="9" r:id="rId19"/>
  </sheets>
  <definedNames>
    <definedName name="_xlnm.Print_Area" localSheetId="6">'Beta for CAPM'!$A$1:$I$37</definedName>
    <definedName name="_xlnm.Print_Area" localSheetId="12">CAPM!$A$1:$H$87</definedName>
    <definedName name="_xlnm.Print_Area" localSheetId="0">'Cover Sheet'!$A$1:$I$37</definedName>
    <definedName name="_xlnm.Print_Area" localSheetId="9">Debt!$A$1:$M$60</definedName>
    <definedName name="_xlnm.Print_Area" localSheetId="2">'Direct CapRates'!$A$1:$H$66</definedName>
    <definedName name="_xlnm.Print_Area" localSheetId="10">'Direct GCF'!$A$1:$N$39</definedName>
    <definedName name="_xlnm.Print_Area" localSheetId="11">'Direct NOPAT'!$A$1:$N$60</definedName>
    <definedName name="_xlnm.Print_Area" localSheetId="7">'Dividends '!$A$1:$K$31</definedName>
    <definedName name="_xlnm.Print_Area" localSheetId="8">Earnings!$A$1:$K$31</definedName>
    <definedName name="_xlnm.Print_Area" localSheetId="13">'Growth &amp; Inflation Rates'!$A$1:$I$108</definedName>
    <definedName name="_xlnm.Print_Area" localSheetId="14">'Indicated Yield Equity Rate '!$A$1:$F$57</definedName>
    <definedName name="_xlnm.Print_Area" localSheetId="5">'Maintenance CapEx'!$A$1:$L$76</definedName>
    <definedName name="_xlnm.Print_Area" localSheetId="4">'Market to Book Ratios'!$A$1:$G$60</definedName>
    <definedName name="_xlnm.Print_Area" localSheetId="17">Multiples!$A$1:$H$43</definedName>
    <definedName name="_xlnm.Print_Area" localSheetId="3">'S&amp;D'!$A$1:$L$74</definedName>
    <definedName name="_xlnm.Print_Area" localSheetId="15">'Single Stage Div Growth Model'!$A$1:$K$47</definedName>
    <definedName name="_xlnm.Print_Area" localSheetId="16">'Two-Stage Div Growth Model'!$A$1:$I$45</definedName>
    <definedName name="_xlnm.Print_Area" localSheetId="1">'Yield CapRate'!$A$1:$H$35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2" i="29" l="1"/>
  <c r="J23" i="3"/>
  <c r="F49" i="38"/>
  <c r="F47" i="38"/>
  <c r="F46" i="38"/>
  <c r="F45" i="38"/>
  <c r="F44" i="38"/>
  <c r="F43" i="38"/>
  <c r="F42" i="38"/>
  <c r="F41" i="38"/>
  <c r="E25" i="11"/>
  <c r="E23" i="11"/>
  <c r="E20" i="11"/>
  <c r="D25" i="11"/>
  <c r="G25" i="11"/>
  <c r="E27" i="29" l="1"/>
  <c r="D23" i="11"/>
  <c r="D22" i="11"/>
  <c r="E23" i="29"/>
  <c r="D20" i="11"/>
  <c r="G20" i="11"/>
  <c r="D45" i="29"/>
  <c r="J43" i="3" l="1"/>
  <c r="H43" i="3"/>
  <c r="G43" i="3"/>
  <c r="F43" i="3"/>
  <c r="J28" i="3"/>
  <c r="I28" i="3"/>
  <c r="H28" i="3"/>
  <c r="F42" i="3"/>
  <c r="G42" i="3"/>
  <c r="J27" i="3"/>
  <c r="I27" i="3"/>
  <c r="G41" i="3"/>
  <c r="J26" i="3"/>
  <c r="G40" i="3"/>
  <c r="J25" i="3"/>
  <c r="J37" i="3"/>
  <c r="G39" i="3" l="1"/>
  <c r="H39" i="3"/>
  <c r="H37" i="3"/>
  <c r="J24" i="3"/>
  <c r="G38" i="3"/>
  <c r="H38" i="3" s="1"/>
  <c r="F38" i="3"/>
  <c r="F37" i="3"/>
  <c r="I23" i="3"/>
  <c r="G37" i="3"/>
  <c r="I22" i="3"/>
  <c r="J22" i="3"/>
  <c r="C7" i="3"/>
  <c r="E47" i="12"/>
  <c r="E48" i="12"/>
  <c r="E49" i="12"/>
  <c r="E50" i="12"/>
  <c r="E51" i="12"/>
  <c r="E52" i="12"/>
  <c r="E46" i="12"/>
  <c r="D58" i="10"/>
  <c r="D25" i="10"/>
  <c r="J38" i="3" l="1"/>
  <c r="I38" i="3"/>
  <c r="J39" i="3"/>
  <c r="I39" i="3"/>
  <c r="A7" i="38"/>
  <c r="J16" i="8"/>
  <c r="J17" i="8"/>
  <c r="J18" i="8"/>
  <c r="J19" i="8"/>
  <c r="J20" i="8"/>
  <c r="J21" i="8"/>
  <c r="J15" i="8"/>
  <c r="H25" i="14" l="1"/>
  <c r="K17" i="12" l="1"/>
  <c r="K18" i="12"/>
  <c r="K19" i="12"/>
  <c r="K20" i="12"/>
  <c r="K21" i="12"/>
  <c r="K22" i="12"/>
  <c r="K16" i="12"/>
  <c r="E17" i="12"/>
  <c r="E18" i="12"/>
  <c r="E19" i="12"/>
  <c r="E20" i="12"/>
  <c r="E21" i="12"/>
  <c r="E22" i="12"/>
  <c r="E16" i="12"/>
  <c r="C26" i="11" l="1"/>
  <c r="C25" i="11"/>
  <c r="C24" i="11"/>
  <c r="C23" i="11"/>
  <c r="C22" i="11"/>
  <c r="C21" i="11"/>
  <c r="C20" i="11"/>
  <c r="F59" i="34"/>
  <c r="F58" i="34"/>
  <c r="F57" i="34"/>
  <c r="F55" i="34"/>
  <c r="F54" i="34"/>
  <c r="F52" i="34"/>
  <c r="F50" i="34"/>
  <c r="F48" i="34"/>
  <c r="F47" i="34"/>
  <c r="F46" i="34"/>
  <c r="F45" i="34"/>
  <c r="F43" i="34"/>
  <c r="F42" i="34"/>
  <c r="E26" i="34"/>
  <c r="E28" i="34"/>
  <c r="E29" i="34"/>
  <c r="E31" i="34"/>
  <c r="E32" i="34"/>
  <c r="E33" i="34"/>
  <c r="E24" i="34"/>
  <c r="E22" i="34"/>
  <c r="E21" i="34"/>
  <c r="E20" i="34"/>
  <c r="E19" i="34"/>
  <c r="E17" i="34"/>
  <c r="E16" i="34"/>
  <c r="E53" i="38"/>
  <c r="D53" i="38"/>
  <c r="F53" i="38" s="1"/>
  <c r="E52" i="38"/>
  <c r="D52" i="38"/>
  <c r="F52" i="38" s="1"/>
  <c r="E51" i="38"/>
  <c r="D51" i="38"/>
  <c r="E50" i="38"/>
  <c r="D50" i="38"/>
  <c r="F51" i="38"/>
  <c r="F50" i="38"/>
  <c r="A15" i="38"/>
  <c r="J33" i="12"/>
  <c r="I33" i="12"/>
  <c r="I24" i="8"/>
  <c r="I23" i="8"/>
  <c r="G24" i="8"/>
  <c r="G23" i="8"/>
  <c r="J24" i="8"/>
  <c r="J23" i="8"/>
  <c r="D40" i="3"/>
  <c r="D41" i="3"/>
  <c r="H41" i="3" l="1"/>
  <c r="J41" i="3" s="1"/>
  <c r="F23" i="20"/>
  <c r="F27" i="20"/>
  <c r="F22" i="20"/>
  <c r="F24" i="20"/>
  <c r="F25" i="20"/>
  <c r="F26" i="20"/>
  <c r="F21" i="20"/>
  <c r="E55" i="12"/>
  <c r="E54" i="12"/>
  <c r="K25" i="12"/>
  <c r="K24" i="12"/>
  <c r="E25" i="12"/>
  <c r="E24" i="12"/>
  <c r="J26" i="5"/>
  <c r="J25" i="5"/>
  <c r="D26" i="5"/>
  <c r="D25" i="5"/>
  <c r="H27" i="14"/>
  <c r="I25" i="27"/>
  <c r="G25" i="27"/>
  <c r="I24" i="27"/>
  <c r="G24" i="27"/>
  <c r="E25" i="27"/>
  <c r="E24" i="27"/>
  <c r="I25" i="17"/>
  <c r="G25" i="17"/>
  <c r="I24" i="17"/>
  <c r="G24" i="17"/>
  <c r="E25" i="17"/>
  <c r="E24" i="17"/>
  <c r="I26" i="14"/>
  <c r="I25" i="14"/>
  <c r="I27" i="14"/>
  <c r="H26" i="14"/>
  <c r="I41" i="3" l="1"/>
  <c r="D15" i="10"/>
  <c r="A46" i="34"/>
  <c r="B46" i="34"/>
  <c r="E46" i="34" s="1"/>
  <c r="B58" i="34"/>
  <c r="B48" i="34"/>
  <c r="E48" i="34" s="1"/>
  <c r="B47" i="34"/>
  <c r="A6" i="25"/>
  <c r="A6" i="20"/>
  <c r="A6" i="19"/>
  <c r="A6" i="34"/>
  <c r="A6" i="33"/>
  <c r="A6" i="12"/>
  <c r="A6" i="5"/>
  <c r="A6" i="8"/>
  <c r="A6" i="27"/>
  <c r="A6" i="17"/>
  <c r="A8" i="14"/>
  <c r="A8" i="11"/>
  <c r="A9" i="29"/>
  <c r="A16" i="6"/>
  <c r="D16" i="7"/>
  <c r="D48" i="10"/>
  <c r="C16" i="34"/>
  <c r="C42" i="34" s="1"/>
  <c r="B59" i="34"/>
  <c r="E59" i="34" s="1"/>
  <c r="B57" i="34"/>
  <c r="E57" i="34" s="1"/>
  <c r="B55" i="34"/>
  <c r="E55" i="34" s="1"/>
  <c r="B54" i="34"/>
  <c r="E54" i="34" s="1"/>
  <c r="B52" i="34"/>
  <c r="E52" i="34" s="1"/>
  <c r="B50" i="34"/>
  <c r="E50" i="34" s="1"/>
  <c r="B45" i="34"/>
  <c r="E45" i="34" s="1"/>
  <c r="B43" i="34"/>
  <c r="E43" i="34" s="1"/>
  <c r="B42" i="34"/>
  <c r="E42" i="34" s="1"/>
  <c r="C20" i="34" l="1"/>
  <c r="C21" i="34"/>
  <c r="C22" i="34"/>
  <c r="E58" i="34"/>
  <c r="E47" i="34"/>
  <c r="D42" i="34"/>
  <c r="G42" i="34" s="1"/>
  <c r="D28" i="33" s="1"/>
  <c r="D16" i="34"/>
  <c r="F16" i="34" s="1"/>
  <c r="C24" i="34"/>
  <c r="C19" i="34"/>
  <c r="C29" i="34"/>
  <c r="C26" i="34"/>
  <c r="C33" i="34"/>
  <c r="C59" i="34" s="1"/>
  <c r="C31" i="34"/>
  <c r="C17" i="34"/>
  <c r="C32" i="34" s="1"/>
  <c r="C28" i="34"/>
  <c r="D20" i="34" l="1"/>
  <c r="F20" i="34" s="1"/>
  <c r="D18" i="33" s="1"/>
  <c r="C46" i="34"/>
  <c r="D46" i="34" s="1"/>
  <c r="G46" i="34" s="1"/>
  <c r="D31" i="33" s="1"/>
  <c r="D32" i="34"/>
  <c r="F32" i="34" s="1"/>
  <c r="D26" i="33" s="1"/>
  <c r="C58" i="34"/>
  <c r="D58" i="34" s="1"/>
  <c r="G58" i="34" s="1"/>
  <c r="D39" i="33" s="1"/>
  <c r="D22" i="34"/>
  <c r="F22" i="34" s="1"/>
  <c r="D20" i="33" s="1"/>
  <c r="C48" i="34"/>
  <c r="D48" i="34" s="1"/>
  <c r="G48" i="34" s="1"/>
  <c r="D33" i="33" s="1"/>
  <c r="C47" i="34"/>
  <c r="D47" i="34" s="1"/>
  <c r="G47" i="34" s="1"/>
  <c r="D32" i="33" s="1"/>
  <c r="D21" i="34"/>
  <c r="F21" i="34" s="1"/>
  <c r="D19" i="33" s="1"/>
  <c r="C43" i="34"/>
  <c r="D43" i="34" s="1"/>
  <c r="G43" i="34" s="1"/>
  <c r="D29" i="33" s="1"/>
  <c r="D17" i="34"/>
  <c r="F17" i="34" s="1"/>
  <c r="C57" i="34"/>
  <c r="D57" i="34" s="1"/>
  <c r="G57" i="34" s="1"/>
  <c r="D38" i="33" s="1"/>
  <c r="D31" i="34"/>
  <c r="F31" i="34" s="1"/>
  <c r="D25" i="33" s="1"/>
  <c r="D59" i="34"/>
  <c r="G59" i="34" s="1"/>
  <c r="D40" i="33" s="1"/>
  <c r="C55" i="34"/>
  <c r="D55" i="34" s="1"/>
  <c r="G55" i="34" s="1"/>
  <c r="D37" i="33" s="1"/>
  <c r="D29" i="34"/>
  <c r="F29" i="34" s="1"/>
  <c r="D33" i="34"/>
  <c r="F33" i="34" s="1"/>
  <c r="D27" i="33" s="1"/>
  <c r="C45" i="34"/>
  <c r="D45" i="34" s="1"/>
  <c r="G45" i="34" s="1"/>
  <c r="D30" i="33" s="1"/>
  <c r="D19" i="34"/>
  <c r="F19" i="34" s="1"/>
  <c r="C54" i="34"/>
  <c r="D54" i="34" s="1"/>
  <c r="G54" i="34" s="1"/>
  <c r="D36" i="33" s="1"/>
  <c r="D28" i="34"/>
  <c r="F28" i="34" s="1"/>
  <c r="C52" i="34"/>
  <c r="D52" i="34" s="1"/>
  <c r="G52" i="34" s="1"/>
  <c r="D35" i="33" s="1"/>
  <c r="D26" i="34"/>
  <c r="F26" i="34" s="1"/>
  <c r="D24" i="34"/>
  <c r="F24" i="34" s="1"/>
  <c r="C50" i="34"/>
  <c r="D50" i="34" s="1"/>
  <c r="G50" i="34" s="1"/>
  <c r="D34" i="33" s="1"/>
  <c r="J26" i="8" l="1"/>
  <c r="D23" i="7"/>
  <c r="D44" i="33"/>
  <c r="D43" i="33"/>
  <c r="D42" i="33"/>
  <c r="D41" i="33"/>
  <c r="D23" i="33" l="1"/>
  <c r="D15" i="33"/>
  <c r="D21" i="33" l="1"/>
  <c r="D22" i="33"/>
  <c r="D16" i="33"/>
  <c r="D17" i="33"/>
  <c r="D24" i="33"/>
  <c r="D47" i="33" l="1"/>
  <c r="D46" i="33"/>
  <c r="D48" i="33"/>
  <c r="D49" i="33"/>
  <c r="E43" i="3" l="1"/>
  <c r="E41" i="3"/>
  <c r="E40" i="3"/>
  <c r="H40" i="3" s="1"/>
  <c r="E39" i="3"/>
  <c r="E38" i="3"/>
  <c r="E37" i="3"/>
  <c r="C28" i="29"/>
  <c r="C46" i="29" s="1"/>
  <c r="B28" i="29"/>
  <c r="B46" i="29" s="1"/>
  <c r="A28" i="29"/>
  <c r="A46" i="29" s="1"/>
  <c r="E46" i="29"/>
  <c r="F28" i="3"/>
  <c r="E42" i="3"/>
  <c r="F27" i="3"/>
  <c r="F26" i="3"/>
  <c r="F25" i="3"/>
  <c r="F24" i="3"/>
  <c r="F23" i="3"/>
  <c r="F22" i="3"/>
  <c r="J40" i="3" l="1"/>
  <c r="I40" i="3"/>
  <c r="D46" i="29"/>
  <c r="F46" i="29" s="1"/>
  <c r="A46" i="12" l="1"/>
  <c r="C46" i="12"/>
  <c r="D46" i="12"/>
  <c r="A47" i="12"/>
  <c r="C47" i="12"/>
  <c r="D47" i="12"/>
  <c r="A48" i="12"/>
  <c r="C48" i="12"/>
  <c r="D48" i="12"/>
  <c r="A49" i="12"/>
  <c r="C49" i="12"/>
  <c r="D49" i="12"/>
  <c r="A50" i="12"/>
  <c r="C50" i="12"/>
  <c r="D50" i="12"/>
  <c r="A51" i="12"/>
  <c r="C51" i="12"/>
  <c r="D51" i="12"/>
  <c r="A52" i="12"/>
  <c r="C52" i="12"/>
  <c r="D52" i="12"/>
  <c r="E57" i="12" l="1"/>
  <c r="E56" i="12"/>
  <c r="F52" i="12"/>
  <c r="G52" i="12" s="1"/>
  <c r="F51" i="12"/>
  <c r="G51" i="12" s="1"/>
  <c r="F50" i="12"/>
  <c r="G50" i="12" s="1"/>
  <c r="F49" i="12"/>
  <c r="G49" i="12" s="1"/>
  <c r="F48" i="12"/>
  <c r="G48" i="12" s="1"/>
  <c r="F47" i="12"/>
  <c r="G47" i="12" s="1"/>
  <c r="F46" i="12"/>
  <c r="G46" i="12" l="1"/>
  <c r="G57" i="12" s="1"/>
  <c r="F54" i="12"/>
  <c r="F55" i="12"/>
  <c r="F57" i="12"/>
  <c r="F56" i="12"/>
  <c r="G56" i="12" l="1"/>
  <c r="G54" i="12"/>
  <c r="G55" i="12"/>
  <c r="D39" i="3"/>
  <c r="D19" i="25"/>
  <c r="C19" i="25"/>
  <c r="B19" i="25"/>
  <c r="D18" i="25"/>
  <c r="C18" i="25"/>
  <c r="B18" i="25"/>
  <c r="D17" i="25"/>
  <c r="C17" i="25"/>
  <c r="B17" i="25"/>
  <c r="D16" i="25"/>
  <c r="C16" i="25"/>
  <c r="B16" i="25"/>
  <c r="E24" i="20"/>
  <c r="C24" i="20"/>
  <c r="B24" i="20"/>
  <c r="A24" i="20"/>
  <c r="E23" i="20"/>
  <c r="C23" i="20"/>
  <c r="B23" i="20"/>
  <c r="A23" i="20"/>
  <c r="E22" i="20"/>
  <c r="C22" i="20"/>
  <c r="B22" i="20"/>
  <c r="A22" i="20"/>
  <c r="E21" i="20"/>
  <c r="C21" i="20"/>
  <c r="B21" i="20"/>
  <c r="A21" i="20"/>
  <c r="D20" i="19"/>
  <c r="C20" i="19"/>
  <c r="B20" i="19"/>
  <c r="A20" i="19"/>
  <c r="D19" i="19"/>
  <c r="C19" i="19"/>
  <c r="B19" i="19"/>
  <c r="A19" i="19"/>
  <c r="D18" i="19"/>
  <c r="C18" i="19"/>
  <c r="B18" i="19"/>
  <c r="A18" i="19"/>
  <c r="D17" i="19"/>
  <c r="C17" i="19"/>
  <c r="B17" i="19"/>
  <c r="A17" i="19"/>
  <c r="D19" i="12"/>
  <c r="J19" i="12" s="1"/>
  <c r="L19" i="12" s="1"/>
  <c r="M19" i="12" s="1"/>
  <c r="C19" i="12"/>
  <c r="I19" i="12" s="1"/>
  <c r="A19" i="12"/>
  <c r="D18" i="12"/>
  <c r="J18" i="12" s="1"/>
  <c r="L18" i="12" s="1"/>
  <c r="M18" i="12" s="1"/>
  <c r="C18" i="12"/>
  <c r="I18" i="12" s="1"/>
  <c r="A18" i="12"/>
  <c r="D17" i="12"/>
  <c r="F17" i="12" s="1"/>
  <c r="G17" i="12" s="1"/>
  <c r="C17" i="12"/>
  <c r="I17" i="12" s="1"/>
  <c r="A17" i="12"/>
  <c r="D16" i="12"/>
  <c r="J16" i="12" s="1"/>
  <c r="L16" i="12" s="1"/>
  <c r="C16" i="12"/>
  <c r="I16" i="12" s="1"/>
  <c r="A16" i="12"/>
  <c r="C20" i="5"/>
  <c r="E20" i="5" s="1"/>
  <c r="F20" i="5" s="1"/>
  <c r="B20" i="5"/>
  <c r="H20" i="5" s="1"/>
  <c r="A20" i="5"/>
  <c r="C19" i="5"/>
  <c r="E19" i="5" s="1"/>
  <c r="F19" i="5" s="1"/>
  <c r="B19" i="5"/>
  <c r="H19" i="5" s="1"/>
  <c r="A19" i="5"/>
  <c r="C18" i="5"/>
  <c r="I18" i="5" s="1"/>
  <c r="L18" i="5" s="1"/>
  <c r="M18" i="5" s="1"/>
  <c r="B18" i="5"/>
  <c r="H18" i="5" s="1"/>
  <c r="A18" i="5"/>
  <c r="C17" i="5"/>
  <c r="E17" i="5" s="1"/>
  <c r="B17" i="5"/>
  <c r="H17" i="5" s="1"/>
  <c r="A17" i="5"/>
  <c r="E18" i="8"/>
  <c r="D18" i="8"/>
  <c r="C18" i="8"/>
  <c r="B18" i="8"/>
  <c r="A18" i="8"/>
  <c r="E17" i="8"/>
  <c r="D17" i="8"/>
  <c r="C17" i="8"/>
  <c r="B17" i="8"/>
  <c r="A17" i="8"/>
  <c r="E16" i="8"/>
  <c r="D16" i="8"/>
  <c r="C16" i="8"/>
  <c r="B16" i="8"/>
  <c r="A16" i="8"/>
  <c r="E15" i="8"/>
  <c r="D15" i="8"/>
  <c r="C15" i="8"/>
  <c r="B15" i="8"/>
  <c r="A15" i="8"/>
  <c r="K19" i="27"/>
  <c r="D19" i="27"/>
  <c r="J19" i="27" s="1"/>
  <c r="C19" i="27"/>
  <c r="B19" i="27"/>
  <c r="A19" i="27"/>
  <c r="K18" i="27"/>
  <c r="D18" i="27"/>
  <c r="J18" i="27" s="1"/>
  <c r="C18" i="27"/>
  <c r="B18" i="27"/>
  <c r="A18" i="27"/>
  <c r="K17" i="27"/>
  <c r="D17" i="27"/>
  <c r="J17" i="27" s="1"/>
  <c r="C17" i="27"/>
  <c r="B17" i="27"/>
  <c r="A17" i="27"/>
  <c r="K16" i="27"/>
  <c r="D16" i="27"/>
  <c r="J16" i="27" s="1"/>
  <c r="C16" i="27"/>
  <c r="B16" i="27"/>
  <c r="A16" i="27"/>
  <c r="K19" i="17"/>
  <c r="D19" i="17"/>
  <c r="J19" i="17" s="1"/>
  <c r="C19" i="17"/>
  <c r="B19" i="17"/>
  <c r="A19" i="17"/>
  <c r="K18" i="17"/>
  <c r="D18" i="17"/>
  <c r="J18" i="17" s="1"/>
  <c r="C18" i="17"/>
  <c r="B18" i="17"/>
  <c r="A18" i="17"/>
  <c r="K17" i="17"/>
  <c r="D17" i="17"/>
  <c r="J17" i="17" s="1"/>
  <c r="C17" i="17"/>
  <c r="B17" i="17"/>
  <c r="A17" i="17"/>
  <c r="K16" i="17"/>
  <c r="D16" i="17"/>
  <c r="J16" i="17" s="1"/>
  <c r="C16" i="17"/>
  <c r="B16" i="17"/>
  <c r="A16" i="17"/>
  <c r="C21" i="14"/>
  <c r="B21" i="14"/>
  <c r="A21" i="14"/>
  <c r="C20" i="14"/>
  <c r="B20" i="14"/>
  <c r="A20" i="14"/>
  <c r="C19" i="14"/>
  <c r="B19" i="14"/>
  <c r="A19" i="14"/>
  <c r="C18" i="14"/>
  <c r="B18" i="14"/>
  <c r="A18" i="14"/>
  <c r="F23" i="11"/>
  <c r="H23" i="11" s="1"/>
  <c r="I23" i="11" s="1"/>
  <c r="B23" i="11"/>
  <c r="A23" i="11"/>
  <c r="F22" i="11"/>
  <c r="H22" i="11" s="1"/>
  <c r="B22" i="11"/>
  <c r="A22" i="11"/>
  <c r="F21" i="11"/>
  <c r="H21" i="11" s="1"/>
  <c r="B21" i="11"/>
  <c r="A21" i="11"/>
  <c r="F20" i="11"/>
  <c r="H20" i="11" s="1"/>
  <c r="B20" i="11"/>
  <c r="A20" i="11"/>
  <c r="C27" i="29"/>
  <c r="B27" i="29"/>
  <c r="A27" i="29"/>
  <c r="C26" i="29"/>
  <c r="B26" i="29"/>
  <c r="A26" i="29"/>
  <c r="C25" i="29"/>
  <c r="C43" i="29" s="1"/>
  <c r="B25" i="29"/>
  <c r="B43" i="29" s="1"/>
  <c r="A25" i="29"/>
  <c r="A43" i="29" s="1"/>
  <c r="C24" i="29"/>
  <c r="C42" i="29" s="1"/>
  <c r="B24" i="29"/>
  <c r="B42" i="29" s="1"/>
  <c r="A24" i="29"/>
  <c r="A42" i="29" s="1"/>
  <c r="C23" i="29"/>
  <c r="C41" i="29" s="1"/>
  <c r="B23" i="29"/>
  <c r="B41" i="29" s="1"/>
  <c r="A23" i="29"/>
  <c r="A41" i="29" s="1"/>
  <c r="C22" i="29"/>
  <c r="C40" i="29" s="1"/>
  <c r="B22" i="29"/>
  <c r="B40" i="29" s="1"/>
  <c r="A22" i="29"/>
  <c r="A40" i="29" s="1"/>
  <c r="D38" i="3"/>
  <c r="D37" i="3"/>
  <c r="E41" i="29"/>
  <c r="C43" i="3"/>
  <c r="B43" i="3"/>
  <c r="A43" i="3"/>
  <c r="C42" i="3"/>
  <c r="B42" i="3"/>
  <c r="A42" i="3"/>
  <c r="C41" i="3"/>
  <c r="B41" i="3"/>
  <c r="A41" i="3"/>
  <c r="C40" i="3"/>
  <c r="B40" i="3"/>
  <c r="A40" i="3"/>
  <c r="C39" i="3"/>
  <c r="B39" i="3"/>
  <c r="A39" i="3"/>
  <c r="C38" i="3"/>
  <c r="B38" i="3"/>
  <c r="A38" i="3"/>
  <c r="C37" i="3"/>
  <c r="B37" i="3"/>
  <c r="A37" i="3"/>
  <c r="M16" i="12" l="1"/>
  <c r="F17" i="5"/>
  <c r="E18" i="19"/>
  <c r="D25" i="29"/>
  <c r="F25" i="29" s="1"/>
  <c r="F17" i="25"/>
  <c r="H17" i="25"/>
  <c r="F16" i="25"/>
  <c r="H16" i="25"/>
  <c r="F19" i="25"/>
  <c r="H19" i="25"/>
  <c r="F18" i="25"/>
  <c r="H18" i="25"/>
  <c r="J22" i="11"/>
  <c r="I20" i="11"/>
  <c r="J23" i="11"/>
  <c r="K23" i="11" s="1"/>
  <c r="L23" i="11" s="1"/>
  <c r="E42" i="29"/>
  <c r="D40" i="29"/>
  <c r="E43" i="29"/>
  <c r="F18" i="27"/>
  <c r="F17" i="17"/>
  <c r="F18" i="17"/>
  <c r="F17" i="27"/>
  <c r="E40" i="29"/>
  <c r="F19" i="27"/>
  <c r="E18" i="5"/>
  <c r="F16" i="27"/>
  <c r="F19" i="17"/>
  <c r="F19" i="12"/>
  <c r="G19" i="12" s="1"/>
  <c r="F16" i="17"/>
  <c r="F16" i="12"/>
  <c r="E19" i="19"/>
  <c r="D24" i="29"/>
  <c r="F24" i="29" s="1"/>
  <c r="D22" i="29"/>
  <c r="F22" i="29" s="1"/>
  <c r="D23" i="29"/>
  <c r="F23" i="29" s="1"/>
  <c r="E17" i="19"/>
  <c r="E20" i="19"/>
  <c r="F18" i="12"/>
  <c r="G18" i="12" s="1"/>
  <c r="J17" i="12"/>
  <c r="L17" i="12" s="1"/>
  <c r="M17" i="12" s="1"/>
  <c r="I19" i="5"/>
  <c r="I17" i="5"/>
  <c r="L17" i="5" s="1"/>
  <c r="I20" i="5"/>
  <c r="L20" i="5" s="1"/>
  <c r="M20" i="5" s="1"/>
  <c r="H16" i="27"/>
  <c r="H17" i="27"/>
  <c r="H18" i="27"/>
  <c r="H19" i="27"/>
  <c r="H16" i="17"/>
  <c r="H17" i="17"/>
  <c r="H18" i="17"/>
  <c r="H19" i="17"/>
  <c r="J20" i="11"/>
  <c r="I21" i="11"/>
  <c r="I22" i="11"/>
  <c r="J21" i="11"/>
  <c r="I37" i="3"/>
  <c r="M17" i="5" l="1"/>
  <c r="G16" i="12"/>
  <c r="F18" i="5"/>
  <c r="D23" i="20"/>
  <c r="F19" i="19"/>
  <c r="J19" i="19" s="1"/>
  <c r="D22" i="20"/>
  <c r="F18" i="19"/>
  <c r="J18" i="19" s="1"/>
  <c r="D24" i="20"/>
  <c r="F20" i="19"/>
  <c r="D21" i="20"/>
  <c r="F17" i="19"/>
  <c r="K22" i="11"/>
  <c r="L22" i="11" s="1"/>
  <c r="K20" i="11"/>
  <c r="L20" i="11" s="1"/>
  <c r="K21" i="11"/>
  <c r="L21" i="11" s="1"/>
  <c r="D41" i="29"/>
  <c r="F41" i="29" s="1"/>
  <c r="D42" i="29"/>
  <c r="F42" i="29" s="1"/>
  <c r="D43" i="29"/>
  <c r="F43" i="29" s="1"/>
  <c r="F40" i="29"/>
  <c r="I18" i="19" l="1"/>
  <c r="I19" i="19"/>
  <c r="J20" i="19"/>
  <c r="I20" i="19"/>
  <c r="J17" i="19"/>
  <c r="I17" i="19"/>
  <c r="G26" i="8"/>
  <c r="G25" i="8"/>
  <c r="E27" i="20" l="1"/>
  <c r="E26" i="20"/>
  <c r="E25" i="20"/>
  <c r="D42" i="3" l="1"/>
  <c r="D27" i="29" l="1"/>
  <c r="F27" i="29" s="1"/>
  <c r="H42" i="3"/>
  <c r="J42" i="3" s="1"/>
  <c r="D22" i="27"/>
  <c r="D21" i="27"/>
  <c r="D20" i="27"/>
  <c r="H20" i="27" s="1"/>
  <c r="C27" i="20"/>
  <c r="B27" i="20"/>
  <c r="A27" i="20"/>
  <c r="C26" i="20"/>
  <c r="B26" i="20"/>
  <c r="A26" i="20"/>
  <c r="C25" i="20"/>
  <c r="B25" i="20"/>
  <c r="A25" i="20"/>
  <c r="D22" i="17"/>
  <c r="D21" i="17"/>
  <c r="D20" i="17"/>
  <c r="H20" i="17" s="1"/>
  <c r="E22" i="19"/>
  <c r="D23" i="19"/>
  <c r="D22" i="19"/>
  <c r="D21" i="19"/>
  <c r="C23" i="19"/>
  <c r="B23" i="19"/>
  <c r="A23" i="19"/>
  <c r="C22" i="19"/>
  <c r="B22" i="19"/>
  <c r="A22" i="19"/>
  <c r="C21" i="19"/>
  <c r="B21" i="19"/>
  <c r="A21" i="19"/>
  <c r="A22" i="12"/>
  <c r="A21" i="12"/>
  <c r="A20" i="12"/>
  <c r="C22" i="12"/>
  <c r="I22" i="12" s="1"/>
  <c r="C21" i="12"/>
  <c r="I21" i="12" s="1"/>
  <c r="C20" i="12"/>
  <c r="I20" i="12" s="1"/>
  <c r="D22" i="12"/>
  <c r="D21" i="12"/>
  <c r="D20" i="12"/>
  <c r="C23" i="5"/>
  <c r="B23" i="5"/>
  <c r="H23" i="5" s="1"/>
  <c r="A23" i="5"/>
  <c r="C22" i="5"/>
  <c r="B22" i="5"/>
  <c r="H22" i="5" s="1"/>
  <c r="A22" i="5"/>
  <c r="C21" i="5"/>
  <c r="B21" i="5"/>
  <c r="H21" i="5" s="1"/>
  <c r="A21" i="5"/>
  <c r="D21" i="8"/>
  <c r="D20" i="8"/>
  <c r="D19" i="8"/>
  <c r="I42" i="3" l="1"/>
  <c r="F21" i="19"/>
  <c r="D25" i="20"/>
  <c r="D22" i="25"/>
  <c r="H22" i="25" s="1"/>
  <c r="D21" i="25"/>
  <c r="H21" i="25" s="1"/>
  <c r="D20" i="25"/>
  <c r="H20" i="25" s="1"/>
  <c r="C22" i="25"/>
  <c r="B22" i="25"/>
  <c r="C21" i="25"/>
  <c r="B21" i="25"/>
  <c r="C20" i="25"/>
  <c r="B20" i="25"/>
  <c r="C21" i="8"/>
  <c r="B21" i="8"/>
  <c r="A21" i="8"/>
  <c r="C20" i="8"/>
  <c r="B20" i="8"/>
  <c r="A20" i="8"/>
  <c r="A19" i="8"/>
  <c r="B19" i="8"/>
  <c r="C19" i="8"/>
  <c r="C22" i="27"/>
  <c r="B22" i="27"/>
  <c r="A22" i="27"/>
  <c r="C21" i="27"/>
  <c r="B21" i="27"/>
  <c r="A21" i="27"/>
  <c r="C20" i="27"/>
  <c r="B20" i="27"/>
  <c r="A20" i="27"/>
  <c r="C22" i="17"/>
  <c r="B22" i="17"/>
  <c r="A22" i="17"/>
  <c r="C21" i="17"/>
  <c r="B21" i="17"/>
  <c r="A21" i="17"/>
  <c r="C20" i="17"/>
  <c r="B20" i="17"/>
  <c r="A20" i="17"/>
  <c r="H25" i="25" l="1"/>
  <c r="H24" i="25"/>
  <c r="C24" i="14"/>
  <c r="B24" i="14"/>
  <c r="A24" i="14"/>
  <c r="C23" i="14"/>
  <c r="B23" i="14"/>
  <c r="A23" i="14"/>
  <c r="C22" i="14"/>
  <c r="B22" i="14"/>
  <c r="A22" i="14"/>
  <c r="B25" i="11"/>
  <c r="A25" i="11"/>
  <c r="B24" i="11"/>
  <c r="A24" i="11"/>
  <c r="E45" i="29"/>
  <c r="B26" i="11" l="1"/>
  <c r="A26" i="11"/>
  <c r="C45" i="29"/>
  <c r="B45" i="29"/>
  <c r="A45" i="29"/>
  <c r="C44" i="29"/>
  <c r="B44" i="29"/>
  <c r="A44" i="29"/>
  <c r="G64" i="10" l="1"/>
  <c r="K20" i="17"/>
  <c r="B55" i="29"/>
  <c r="I27" i="27"/>
  <c r="G27" i="27"/>
  <c r="E27" i="27"/>
  <c r="I26" i="27"/>
  <c r="G26" i="27"/>
  <c r="E26" i="27"/>
  <c r="K22" i="27"/>
  <c r="J22" i="27"/>
  <c r="K21" i="27"/>
  <c r="F21" i="27"/>
  <c r="K20" i="27"/>
  <c r="K22" i="17"/>
  <c r="K21" i="17"/>
  <c r="K24" i="27" l="1"/>
  <c r="K25" i="27"/>
  <c r="K24" i="17"/>
  <c r="K25" i="17"/>
  <c r="G24" i="20"/>
  <c r="H24" i="20" s="1"/>
  <c r="G21" i="20"/>
  <c r="H21" i="20" s="1"/>
  <c r="G22" i="20"/>
  <c r="H22" i="20" s="1"/>
  <c r="G23" i="20"/>
  <c r="H23" i="20" s="1"/>
  <c r="F20" i="27"/>
  <c r="J20" i="27"/>
  <c r="K27" i="27"/>
  <c r="H21" i="27"/>
  <c r="K26" i="27"/>
  <c r="G15" i="38" s="1"/>
  <c r="J21" i="27"/>
  <c r="F22" i="27"/>
  <c r="K26" i="17"/>
  <c r="F15" i="38" s="1"/>
  <c r="K27" i="17"/>
  <c r="G16" i="38" l="1"/>
  <c r="F16" i="38"/>
  <c r="F25" i="27"/>
  <c r="F24" i="27"/>
  <c r="H24" i="27"/>
  <c r="H25" i="27"/>
  <c r="J25" i="27"/>
  <c r="J24" i="27"/>
  <c r="J27" i="27"/>
  <c r="J26" i="27"/>
  <c r="F27" i="27"/>
  <c r="F26" i="27"/>
  <c r="H27" i="27"/>
  <c r="H26" i="27"/>
  <c r="I27" i="17" l="1"/>
  <c r="I26" i="17"/>
  <c r="G31" i="10" l="1"/>
  <c r="F21" i="25"/>
  <c r="H27" i="25" l="1"/>
  <c r="H26" i="25"/>
  <c r="G26" i="20"/>
  <c r="G25" i="20"/>
  <c r="G27" i="20"/>
  <c r="F20" i="25"/>
  <c r="F22" i="25"/>
  <c r="H27" i="19"/>
  <c r="G27" i="19"/>
  <c r="H26" i="19"/>
  <c r="G26" i="19"/>
  <c r="G27" i="17"/>
  <c r="G26" i="17"/>
  <c r="J22" i="17"/>
  <c r="J21" i="17"/>
  <c r="J20" i="17"/>
  <c r="E27" i="17"/>
  <c r="E26" i="17"/>
  <c r="I28" i="14"/>
  <c r="I26" i="8"/>
  <c r="I25" i="8"/>
  <c r="F26" i="11"/>
  <c r="H26" i="11" s="1"/>
  <c r="F25" i="11"/>
  <c r="H25" i="11" s="1"/>
  <c r="F24" i="11"/>
  <c r="H24" i="11" s="1"/>
  <c r="E21" i="8"/>
  <c r="E20" i="8"/>
  <c r="E19" i="8"/>
  <c r="I23" i="5"/>
  <c r="L23" i="5" s="1"/>
  <c r="I22" i="5"/>
  <c r="L22" i="5" s="1"/>
  <c r="I21" i="5"/>
  <c r="L21" i="5" s="1"/>
  <c r="D23" i="10"/>
  <c r="H32" i="5"/>
  <c r="D56" i="10" s="1"/>
  <c r="G32" i="5"/>
  <c r="H28" i="14"/>
  <c r="K27" i="12"/>
  <c r="E27" i="12"/>
  <c r="K26" i="12"/>
  <c r="E26" i="12"/>
  <c r="F21" i="12"/>
  <c r="G21" i="12" s="1"/>
  <c r="J20" i="12"/>
  <c r="L25" i="5" l="1"/>
  <c r="L26" i="5"/>
  <c r="F24" i="25"/>
  <c r="F25" i="25"/>
  <c r="J24" i="17"/>
  <c r="J25" i="17"/>
  <c r="J25" i="11"/>
  <c r="I25" i="11"/>
  <c r="J24" i="11"/>
  <c r="I24" i="11"/>
  <c r="J27" i="17"/>
  <c r="J26" i="17"/>
  <c r="J21" i="12"/>
  <c r="F20" i="17"/>
  <c r="H21" i="17"/>
  <c r="F21" i="17"/>
  <c r="H22" i="17"/>
  <c r="F22" i="17"/>
  <c r="L20" i="12"/>
  <c r="J22" i="12"/>
  <c r="F27" i="25"/>
  <c r="F26" i="25"/>
  <c r="F22" i="12"/>
  <c r="G22" i="12" s="1"/>
  <c r="F20" i="12"/>
  <c r="G20" i="12" l="1"/>
  <c r="F24" i="12"/>
  <c r="F25" i="12"/>
  <c r="H24" i="17"/>
  <c r="M20" i="12"/>
  <c r="H25" i="17"/>
  <c r="F24" i="17"/>
  <c r="F25" i="17"/>
  <c r="D27" i="20"/>
  <c r="H27" i="20" s="1"/>
  <c r="F23" i="19"/>
  <c r="F22" i="19"/>
  <c r="D26" i="20"/>
  <c r="H26" i="20" s="1"/>
  <c r="H25" i="20"/>
  <c r="I21" i="19"/>
  <c r="K24" i="11"/>
  <c r="L24" i="11" s="1"/>
  <c r="K25" i="11"/>
  <c r="L25" i="11" s="1"/>
  <c r="L21" i="12"/>
  <c r="M21" i="12" s="1"/>
  <c r="F26" i="17"/>
  <c r="F27" i="17"/>
  <c r="L22" i="12"/>
  <c r="M22" i="12" s="1"/>
  <c r="H26" i="17"/>
  <c r="H27" i="17"/>
  <c r="G26" i="12"/>
  <c r="F27" i="12"/>
  <c r="F26" i="12"/>
  <c r="G27" i="12"/>
  <c r="H29" i="20" l="1"/>
  <c r="H28" i="20"/>
  <c r="L25" i="12"/>
  <c r="L24" i="12"/>
  <c r="J22" i="19"/>
  <c r="F25" i="19"/>
  <c r="F24" i="19"/>
  <c r="M25" i="12"/>
  <c r="M24" i="12"/>
  <c r="J23" i="19"/>
  <c r="I23" i="19"/>
  <c r="G24" i="12"/>
  <c r="G25" i="12"/>
  <c r="J21" i="19"/>
  <c r="I22" i="19"/>
  <c r="I24" i="19" s="1"/>
  <c r="H31" i="20"/>
  <c r="H30" i="20"/>
  <c r="L27" i="12"/>
  <c r="L26" i="12"/>
  <c r="F27" i="19"/>
  <c r="F26" i="19"/>
  <c r="M27" i="12"/>
  <c r="M26" i="12"/>
  <c r="I27" i="19" l="1"/>
  <c r="J24" i="19"/>
  <c r="J25" i="19"/>
  <c r="I25" i="19"/>
  <c r="J27" i="19"/>
  <c r="J26" i="19"/>
  <c r="I26" i="19"/>
  <c r="J28" i="5"/>
  <c r="J27" i="5"/>
  <c r="J26" i="11"/>
  <c r="I26" i="11"/>
  <c r="F56" i="10"/>
  <c r="C58" i="10"/>
  <c r="C56" i="10"/>
  <c r="F58" i="10"/>
  <c r="F25" i="10"/>
  <c r="C25" i="10"/>
  <c r="F23" i="10"/>
  <c r="C23" i="10"/>
  <c r="K26" i="11" l="1"/>
  <c r="L26" i="11" s="1"/>
  <c r="G25" i="10"/>
  <c r="C27" i="10"/>
  <c r="C60" i="10"/>
  <c r="G23" i="10"/>
  <c r="G56" i="10"/>
  <c r="G58" i="10"/>
  <c r="E44" i="29"/>
  <c r="L30" i="11" l="1"/>
  <c r="L29" i="11"/>
  <c r="L28" i="11"/>
  <c r="D44" i="29"/>
  <c r="F44" i="29" s="1"/>
  <c r="L31" i="11"/>
  <c r="G27" i="10"/>
  <c r="G60" i="10"/>
  <c r="M21" i="5"/>
  <c r="M22" i="5"/>
  <c r="M23" i="5"/>
  <c r="M25" i="5" l="1"/>
  <c r="M26" i="5"/>
  <c r="F45" i="29"/>
  <c r="L27" i="5"/>
  <c r="L28" i="5"/>
  <c r="F47" i="29" l="1"/>
  <c r="D55" i="29" s="1"/>
  <c r="M28" i="5"/>
  <c r="M27" i="5"/>
  <c r="D43" i="3" l="1"/>
  <c r="D28" i="29" l="1"/>
  <c r="F28" i="29" s="1"/>
  <c r="D26" i="29"/>
  <c r="F26" i="29" s="1"/>
  <c r="E23" i="19"/>
  <c r="E21" i="19"/>
  <c r="I43" i="3" l="1"/>
  <c r="J45" i="3"/>
  <c r="J44" i="3"/>
  <c r="J46" i="3"/>
  <c r="C23" i="7"/>
  <c r="C54" i="29" s="1"/>
  <c r="C25" i="7"/>
  <c r="C55" i="29" s="1"/>
  <c r="E55" i="29" s="1"/>
  <c r="D25" i="7" l="1"/>
  <c r="J25" i="8" l="1"/>
  <c r="F29" i="29" l="1"/>
  <c r="D54" i="29" s="1"/>
  <c r="E54" i="29" s="1"/>
  <c r="E56" i="29" s="1"/>
  <c r="D28" i="5" l="1"/>
  <c r="D27" i="5"/>
  <c r="I46" i="3" l="1"/>
  <c r="I45" i="3"/>
  <c r="I44" i="3"/>
  <c r="J47" i="3"/>
  <c r="E23" i="5" l="1"/>
  <c r="F23" i="5" s="1"/>
  <c r="E22" i="5"/>
  <c r="F22" i="5" s="1"/>
  <c r="E21" i="5"/>
  <c r="E26" i="5" l="1"/>
  <c r="E25" i="5"/>
  <c r="F21" i="5"/>
  <c r="E27" i="5"/>
  <c r="E28" i="5"/>
  <c r="I47" i="3"/>
  <c r="F27" i="5"/>
  <c r="F25" i="5" l="1"/>
  <c r="F26" i="5"/>
  <c r="F23" i="7"/>
  <c r="G23" i="7" s="1"/>
  <c r="F28" i="5"/>
  <c r="C27" i="7"/>
  <c r="F25" i="7"/>
  <c r="G25" i="7" s="1"/>
  <c r="G2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  <author>rev3569</author>
    <author>rev4175</author>
  </authors>
  <commentList>
    <comment ref="H22" authorId="0" shapeId="0" xr:uid="{534674D0-5ECE-4507-96C3-00589CB80E4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103 of pdf</t>
        </r>
      </text>
    </comment>
    <comment ref="I22" authorId="0" shapeId="0" xr:uid="{A3EB372A-77FF-4C4F-B170-23DE6BBE2C5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103 of pdf</t>
        </r>
      </text>
    </comment>
    <comment ref="J22" authorId="0" shapeId="0" xr:uid="{5CB32511-5B4F-45C3-8C72-381C8C59C02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111</t>
        </r>
      </text>
    </comment>
    <comment ref="H23" authorId="0" shapeId="0" xr:uid="{8A24F20E-9F4C-48BE-9A68-0421C2D27A1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177 of pdf</t>
        </r>
      </text>
    </comment>
    <comment ref="I23" authorId="0" shapeId="0" xr:uid="{84885B70-D8D4-4D1A-AB98-F968C228E4E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177 of pdf</t>
        </r>
      </text>
    </comment>
    <comment ref="J23" authorId="0" shapeId="0" xr:uid="{A4C8F218-1898-4EE8-8E60-E7731987248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177 of pdf</t>
        </r>
      </text>
    </comment>
    <comment ref="H24" authorId="0" shapeId="0" xr:uid="{F0DCDE63-BFF1-4396-937C-A57F821A929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</t>
        </r>
      </text>
    </comment>
    <comment ref="I24" authorId="0" shapeId="0" xr:uid="{5C205165-65C9-4019-8543-D60B16E39D4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</t>
        </r>
      </text>
    </comment>
    <comment ref="J24" authorId="0" shapeId="0" xr:uid="{D8535346-B828-4BF5-AD90-46333D055DB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140 of pdf</t>
        </r>
      </text>
    </comment>
    <comment ref="H25" authorId="0" shapeId="0" xr:uid="{745C5053-F8FD-49FC-864D-A5493612C6F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74 of pdf</t>
        </r>
      </text>
    </comment>
    <comment ref="J25" authorId="0" shapeId="0" xr:uid="{72784A66-08C2-4D52-B701-58A02AD83D7A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74 of pdf</t>
        </r>
      </text>
    </comment>
    <comment ref="H26" authorId="0" shapeId="0" xr:uid="{55910A3C-52AF-4885-80C6-3BAE7029755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</t>
        </r>
      </text>
    </comment>
    <comment ref="J26" authorId="0" shapeId="0" xr:uid="{26D1CFB2-DD2E-4848-866F-BB08B3FDF84A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</t>
        </r>
      </text>
    </comment>
    <comment ref="H27" authorId="0" shapeId="0" xr:uid="{3CC03FA2-19B6-4A4D-8D9B-5030FC390AC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138 of pdf</t>
        </r>
      </text>
    </comment>
    <comment ref="I27" authorId="0" shapeId="0" xr:uid="{CC6DB33C-5DAB-406E-B9AF-24C9A6C3822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138 of pdf</t>
        </r>
      </text>
    </comment>
    <comment ref="J27" authorId="0" shapeId="0" xr:uid="{C2886BBE-D2B6-4D5F-A3CC-B06532BBC62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138 of pdf</t>
        </r>
      </text>
    </comment>
    <comment ref="H28" authorId="0" shapeId="0" xr:uid="{98B87376-D160-4CC0-A495-76002ACEFBF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
</t>
        </r>
      </text>
    </comment>
    <comment ref="I28" authorId="0" shapeId="0" xr:uid="{2F3F0BA4-3ABF-4B13-A122-CCD137D86BD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
</t>
        </r>
      </text>
    </comment>
    <comment ref="J28" authorId="0" shapeId="0" xr:uid="{93B1D2F4-0BA4-4E36-9B41-6221272F6AC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
</t>
        </r>
      </text>
    </comment>
    <comment ref="F33" authorId="1" shapeId="0" xr:uid="{CEF678F7-6580-4CF3-AC8E-A803AFF27478}">
      <text>
        <r>
          <rPr>
            <b/>
            <sz val="11"/>
            <color indexed="81"/>
            <rFont val="Tahoma"/>
            <family val="2"/>
          </rPr>
          <t>rev3569:</t>
        </r>
        <r>
          <rPr>
            <sz val="11"/>
            <color indexed="81"/>
            <rFont val="Tahoma"/>
            <family val="2"/>
          </rPr>
          <t xml:space="preserve">
identify present value in 10K</t>
        </r>
      </text>
    </comment>
    <comment ref="F37" authorId="2" shapeId="0" xr:uid="{8F18BA87-B158-4643-B5E9-4A401ECE3375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180 of pdf</t>
        </r>
      </text>
    </comment>
    <comment ref="G37" authorId="0" shapeId="0" xr:uid="{8F4E074E-B5E8-472B-B766-7C713F82BBC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180 
IN THE TEXT UNDER FAIR VALUE OF OTHER FINANCIAL INSTRUMENTS</t>
        </r>
      </text>
    </comment>
    <comment ref="F38" authorId="0" shapeId="0" xr:uid="{F51D8EE9-563E-4A54-89C2-28E1C56E5AD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192</t>
        </r>
      </text>
    </comment>
    <comment ref="F39" authorId="0" shapeId="0" xr:uid="{0C662C71-9FCE-421E-9AD0-47C2943D37B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200 of pdf
</t>
        </r>
      </text>
    </comment>
    <comment ref="G39" authorId="0" shapeId="0" xr:uid="{31CB59D1-9A0F-40C5-8306-52E6B3E07A8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195 of pdf</t>
        </r>
      </text>
    </comment>
    <comment ref="F40" authorId="2" shapeId="0" xr:uid="{4244BEC0-3443-4BCC-94A5-DFC6E742E99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118 of pdf</t>
        </r>
      </text>
    </comment>
    <comment ref="G40" authorId="2" shapeId="0" xr:uid="{24D5D618-E142-4DD0-98F4-BA8FD7DB261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Page 68 of pdf</t>
        </r>
      </text>
    </comment>
    <comment ref="F41" authorId="2" shapeId="0" xr:uid="{30A80939-6230-44F2-9988-A7DE68A9EB5F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110 of pdf</t>
        </r>
      </text>
    </comment>
    <comment ref="G41" authorId="2" shapeId="0" xr:uid="{323A7192-E5CD-4165-8251-5C1D9910C2B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87 of pdf
</t>
        </r>
      </text>
    </comment>
    <comment ref="F42" authorId="0" shapeId="0" xr:uid="{3AF5640D-A4DD-4FC6-A2FB-5082799A99D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164 
of pdf</t>
        </r>
      </text>
    </comment>
    <comment ref="G42" authorId="0" shapeId="0" xr:uid="{03C32EA9-E8A6-40F1-9AFC-61AF1C1312F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203 of pdf</t>
        </r>
      </text>
    </comment>
    <comment ref="F43" authorId="2" shapeId="0" xr:uid="{0A7BDF44-5E83-49D3-ADE0-E464315A5BDA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10K page 174 of pdf</t>
        </r>
      </text>
    </comment>
    <comment ref="G43" authorId="0" shapeId="0" xr:uid="{A527114E-3800-41C4-BBFB-5B512090CFD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178 of pdf  NOTE 16 FAIR VALUE MEASUREMENTS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</authors>
  <commentList>
    <comment ref="E22" authorId="0" shapeId="0" xr:uid="{57595A53-6AB0-4C0D-8318-B121FDE51818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103 of pdf</t>
        </r>
      </text>
    </comment>
    <comment ref="E23" authorId="0" shapeId="0" xr:uid="{DCADA8A8-E9E5-4944-BA3A-F8C6CA0B45E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F-5 177 of pdf</t>
        </r>
      </text>
    </comment>
    <comment ref="E24" authorId="0" shapeId="0" xr:uid="{EBB36751-EDEB-4A86-B025-B6DB1290F64F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F-4 140 of pdf</t>
        </r>
      </text>
    </comment>
    <comment ref="E25" authorId="0" shapeId="0" xr:uid="{9289CD71-37F1-4A5B-9BDF-96589F38423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 of pdf</t>
        </r>
      </text>
    </comment>
    <comment ref="E26" authorId="0" shapeId="0" xr:uid="{E2767796-9C04-4DEE-BF2D-EDC7FA7758C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</t>
        </r>
      </text>
    </comment>
    <comment ref="E27" authorId="0" shapeId="0" xr:uid="{C2BAEE0D-5AAA-41EA-BBF4-1AD5DBE30BF7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138 of pdf</t>
        </r>
      </text>
    </comment>
    <comment ref="E28" authorId="0" shapeId="0" xr:uid="{9799F25A-38F5-4CB4-B4A2-86B2011C39C4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100 of pdf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Moss, Brittney (DOR)</author>
    <author>rev4175</author>
  </authors>
  <commentList>
    <comment ref="D20" authorId="0" shapeId="0" xr:uid="{393388EA-AF62-466C-8C10-C846B96739A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148</t>
        </r>
      </text>
    </comment>
    <comment ref="E20" authorId="0" shapeId="0" xr:uid="{2EEECF28-913E-4028-B412-A366C369F3A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148</t>
        </r>
      </text>
    </comment>
    <comment ref="G20" authorId="0" shapeId="0" xr:uid="{4771B60D-314A-4598-935D-32118C633C8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99 of pdf</t>
        </r>
      </text>
    </comment>
    <comment ref="D21" authorId="0" shapeId="0" xr:uid="{95C10E24-34C7-45D0-8E6D-EB51B8A7180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F-6 176 of pdf</t>
        </r>
      </text>
    </comment>
    <comment ref="E21" authorId="0" shapeId="0" xr:uid="{51F26373-1EFA-4B2D-B3C8-CBF72A1496B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F-6 (173)</t>
        </r>
      </text>
    </comment>
    <comment ref="G21" authorId="0" shapeId="0" xr:uid="{2D489EA5-77CE-4DBA-9936-F57CD7E550B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F-6 178 of pdf</t>
        </r>
      </text>
    </comment>
    <comment ref="D22" authorId="0" shapeId="0" xr:uid="{F8864D79-6E77-41A1-B34D-8E78563924CE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F-20 156 of pdf</t>
        </r>
      </text>
    </comment>
    <comment ref="E22" authorId="0" shapeId="0" xr:uid="{8817F08A-F058-4811-816E-4729BC4FAC5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F-20 (154)</t>
        </r>
      </text>
    </comment>
    <comment ref="G22" authorId="0" shapeId="0" xr:uid="{D5F1D8FF-4229-4656-891E-EB9555F3D91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73 of pdf
</t>
        </r>
      </text>
    </comment>
    <comment ref="D23" authorId="0" shapeId="0" xr:uid="{560C697A-D76C-4D98-8F18-F5FED3F9EEEC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92 NOTE 5</t>
        </r>
      </text>
    </comment>
    <comment ref="E23" authorId="0" shapeId="0" xr:uid="{9D0154F6-1DA4-4A07-AD3F-2497CB0D4D4D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92 NOTE 5</t>
        </r>
      </text>
    </comment>
    <comment ref="G23" authorId="0" shapeId="0" xr:uid="{AFCC4137-36A1-41EB-A107-9AC01EF69641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72 of pdf</t>
        </r>
      </text>
    </comment>
    <comment ref="D24" authorId="0" shapeId="0" xr:uid="{30323634-C714-44EE-9635-7D327ACFF2A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</t>
        </r>
      </text>
    </comment>
    <comment ref="E24" authorId="0" shapeId="0" xr:uid="{74788CF4-CB26-4337-B187-044ED85EC755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68</t>
        </r>
      </text>
    </comment>
    <comment ref="G24" authorId="0" shapeId="0" xr:uid="{C047149F-A843-407F-B253-3755293293B9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67</t>
        </r>
      </text>
    </comment>
    <comment ref="D25" authorId="0" shapeId="0" xr:uid="{34A7FD12-3E8B-49EC-ADB9-A9F1710552E2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163 of pdf NOTE 8</t>
        </r>
      </text>
    </comment>
    <comment ref="E25" authorId="0" shapeId="0" xr:uid="{A0D6BAF6-0C0B-43B4-B4BD-82C919B9A0C0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ANNUAL REPORT PG 173 NOTE 9</t>
        </r>
      </text>
    </comment>
    <comment ref="G25" authorId="1" shapeId="0" xr:uid="{92CB0830-D35F-4E3B-977A-E857D0C98849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Annual Report page 135 of pdf</t>
        </r>
      </text>
    </comment>
    <comment ref="D26" authorId="1" shapeId="0" xr:uid="{C059CACC-BA1F-44D6-8DE4-60B4A5D39EAB}">
      <text>
        <r>
          <rPr>
            <b/>
            <sz val="9"/>
            <color indexed="81"/>
            <rFont val="Tahoma"/>
            <family val="2"/>
          </rPr>
          <t>rev4175:</t>
        </r>
        <r>
          <rPr>
            <sz val="9"/>
            <color indexed="81"/>
            <rFont val="Tahoma"/>
            <family val="2"/>
          </rPr>
          <t xml:space="preserve">
Annual Report page 157 of pdf</t>
        </r>
      </text>
    </comment>
    <comment ref="G26" authorId="0" shapeId="0" xr:uid="{6E17CE46-F0B5-41C0-AC40-9A5CDFF26AF6}">
      <text>
        <r>
          <rPr>
            <b/>
            <sz val="9"/>
            <color indexed="81"/>
            <rFont val="Tahoma"/>
            <family val="2"/>
          </rPr>
          <t>Moss, Brittney (DOR):</t>
        </r>
        <r>
          <rPr>
            <sz val="9"/>
            <color indexed="81"/>
            <rFont val="Tahoma"/>
            <family val="2"/>
          </rPr>
          <t xml:space="preserve">
10K PG 98 of pdf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<sst xmlns="http://schemas.openxmlformats.org/spreadsheetml/2006/main" count="1463" uniqueCount="500">
  <si>
    <t xml:space="preserve"> </t>
  </si>
  <si>
    <t>KENTUCKY DEPARTMENT OF REVENUE</t>
  </si>
  <si>
    <t>Company</t>
  </si>
  <si>
    <t>Ticker</t>
  </si>
  <si>
    <t>Symbol</t>
  </si>
  <si>
    <t xml:space="preserve">Industry </t>
  </si>
  <si>
    <t>Group</t>
  </si>
  <si>
    <t>VL</t>
  </si>
  <si>
    <t>10K / SEC</t>
  </si>
  <si>
    <t>DIVISION OF STATE VALUATION, PUBLIC SERVICE BRANCH</t>
  </si>
  <si>
    <t>Stock Price</t>
  </si>
  <si>
    <t>Preferred Stock</t>
  </si>
  <si>
    <t>Common Stock</t>
  </si>
  <si>
    <t>4th Qtr</t>
  </si>
  <si>
    <t>FMV</t>
  </si>
  <si>
    <t>Calculated</t>
  </si>
  <si>
    <t>Total Market Value</t>
  </si>
  <si>
    <t>% Common Stock</t>
  </si>
  <si>
    <t>Median</t>
  </si>
  <si>
    <t>Average</t>
  </si>
  <si>
    <t xml:space="preserve">Financial </t>
  </si>
  <si>
    <t xml:space="preserve">Actual </t>
  </si>
  <si>
    <t>Strength</t>
  </si>
  <si>
    <t>Tax Rate</t>
  </si>
  <si>
    <t>A</t>
  </si>
  <si>
    <t>B+</t>
  </si>
  <si>
    <t>Computed</t>
  </si>
  <si>
    <t>Price</t>
  </si>
  <si>
    <t>Multiple</t>
  </si>
  <si>
    <t>Inverse</t>
  </si>
  <si>
    <t>KENTUCKY</t>
  </si>
  <si>
    <t xml:space="preserve">Source of </t>
  </si>
  <si>
    <t>Capital</t>
  </si>
  <si>
    <t>Cost of Capital</t>
  </si>
  <si>
    <t>Weighted</t>
  </si>
  <si>
    <t>Structure</t>
  </si>
  <si>
    <t>Rate</t>
  </si>
  <si>
    <t>After Tax</t>
  </si>
  <si>
    <t>Cost</t>
  </si>
  <si>
    <t>EQUITY</t>
  </si>
  <si>
    <t>-</t>
  </si>
  <si>
    <t>DEBT</t>
  </si>
  <si>
    <t>TOTAL</t>
  </si>
  <si>
    <t>A+</t>
  </si>
  <si>
    <t xml:space="preserve">  </t>
  </si>
  <si>
    <t>High</t>
  </si>
  <si>
    <t>Low</t>
  </si>
  <si>
    <t>Mergent Bond</t>
  </si>
  <si>
    <t>Rating</t>
  </si>
  <si>
    <t>Debt Rate</t>
  </si>
  <si>
    <t>S &amp; P</t>
  </si>
  <si>
    <t>% LT Debt &amp; Pref Stock</t>
  </si>
  <si>
    <t>Baa1</t>
  </si>
  <si>
    <t>Baa2</t>
  </si>
  <si>
    <t>The capital structure of this industry is a representative or typical capital structure of the group, not that of the present owner.  The capital structure selected reflects the most likely arrangement of a prospective buyer.</t>
  </si>
  <si>
    <t>A1</t>
  </si>
  <si>
    <t>Ba1</t>
  </si>
  <si>
    <t>A3</t>
  </si>
  <si>
    <t>Baa3</t>
  </si>
  <si>
    <t>A-</t>
  </si>
  <si>
    <t>Book Value</t>
  </si>
  <si>
    <t>Shares Issued less Treasury</t>
  </si>
  <si>
    <t>DIRECT CAPITALIZATION RATE CONCLUSION</t>
  </si>
  <si>
    <t>YIELD CAPITALIZATION RATE CONCLUSION</t>
  </si>
  <si>
    <t>GCF After Tax</t>
  </si>
  <si>
    <t>Capitalization Rate</t>
  </si>
  <si>
    <t>Capitalization</t>
  </si>
  <si>
    <t>Marginal</t>
  </si>
  <si>
    <t>CAP RATE</t>
  </si>
  <si>
    <t>NOI After Tax  (NOPAT)</t>
  </si>
  <si>
    <t>WACC</t>
  </si>
  <si>
    <t>Notes:</t>
  </si>
  <si>
    <t>Shares Outstanding *</t>
  </si>
  <si>
    <t>Selected</t>
  </si>
  <si>
    <t>CAPITAL STRUCTURE</t>
  </si>
  <si>
    <t>Maintenance Capital Expenditures</t>
  </si>
  <si>
    <t>Estimate using Guideline Companies</t>
  </si>
  <si>
    <t>Inflation</t>
  </si>
  <si>
    <t>Rate %</t>
  </si>
  <si>
    <t>CPI</t>
  </si>
  <si>
    <t>PP&amp;E Gross</t>
  </si>
  <si>
    <t>PP&amp;E</t>
  </si>
  <si>
    <t>Previous Year</t>
  </si>
  <si>
    <t>Current Year</t>
  </si>
  <si>
    <t>Depreciation</t>
  </si>
  <si>
    <t>Expense</t>
  </si>
  <si>
    <t xml:space="preserve">Average Life of </t>
  </si>
  <si>
    <t>Assets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</si>
  <si>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</si>
  <si>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</si>
  <si>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</si>
  <si>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</si>
  <si>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</si>
  <si>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</si>
  <si>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</si>
  <si>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</si>
  <si>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</si>
  <si>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</si>
  <si>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F/G</t>
  </si>
  <si>
    <t>C*H</t>
  </si>
  <si>
    <t>1/(1=C)^H</t>
  </si>
  <si>
    <t>Replacement</t>
  </si>
  <si>
    <t xml:space="preserve">Cost </t>
  </si>
  <si>
    <t>RC as % of</t>
  </si>
  <si>
    <t>K/G</t>
  </si>
  <si>
    <t>L</t>
  </si>
  <si>
    <t>(D+E)/2</t>
  </si>
  <si>
    <t>(G*I) / (1-J)</t>
  </si>
  <si>
    <t>*</t>
  </si>
  <si>
    <t>Gross Cash Flow</t>
  </si>
  <si>
    <t>NOPAT</t>
  </si>
  <si>
    <t>VL Projected NOI</t>
  </si>
  <si>
    <t xml:space="preserve">Year End </t>
  </si>
  <si>
    <t>VL Historic</t>
  </si>
  <si>
    <t>VL Projected</t>
  </si>
  <si>
    <t>Current</t>
  </si>
  <si>
    <t>Yield</t>
  </si>
  <si>
    <t>BETA SELECTION for CAPM</t>
  </si>
  <si>
    <t>SELECTED AVERAGE &gt;</t>
  </si>
  <si>
    <t>Source</t>
  </si>
  <si>
    <t>GDP</t>
  </si>
  <si>
    <t>Nominal</t>
  </si>
  <si>
    <t>Growth</t>
  </si>
  <si>
    <t>Book Ratio</t>
  </si>
  <si>
    <t>Numeric</t>
  </si>
  <si>
    <t>Caa3</t>
  </si>
  <si>
    <t>Caa2</t>
  </si>
  <si>
    <t>Caa1</t>
  </si>
  <si>
    <t>B3</t>
  </si>
  <si>
    <t>B2</t>
  </si>
  <si>
    <t>B1</t>
  </si>
  <si>
    <t>Ba3</t>
  </si>
  <si>
    <t>Ba2</t>
  </si>
  <si>
    <t>A2</t>
  </si>
  <si>
    <t>Aa3</t>
  </si>
  <si>
    <t>Aa2</t>
  </si>
  <si>
    <t>Aa1</t>
  </si>
  <si>
    <t>Bond Rating Scale</t>
  </si>
  <si>
    <t>Levered Beta</t>
  </si>
  <si>
    <t>https://www.philadelphiafed.org/research-and-data/real-time-center/livingston-survey</t>
  </si>
  <si>
    <t>https://www.philadelphiafed.org/surveys-and-data/real-time-data-research/survey-of-professional-forecasters</t>
  </si>
  <si>
    <t>Preferred Stock ***</t>
  </si>
  <si>
    <t>Long Term Debt **</t>
  </si>
  <si>
    <t xml:space="preserve">** Debt includes  LT Debt , Current portion of LT Debt, and Finance leases from 10K </t>
  </si>
  <si>
    <t>*** Market value of preferred stock assumed to equal book value</t>
  </si>
  <si>
    <t>* Outstanding stock shares are generally already net of Treasury stock shares</t>
  </si>
  <si>
    <t>MODEL</t>
  </si>
  <si>
    <t>EQUITY RATES for YIELD APPROACH</t>
  </si>
  <si>
    <t>CAPM - The CFO Survey</t>
  </si>
  <si>
    <t>CAPM - Fernandez, Banuls, &amp; Acin</t>
  </si>
  <si>
    <t>CAPM - Ex Post (BVR Historical, Arithmeic)</t>
  </si>
  <si>
    <t>CAPM - Ex Post (BVR Historical, Geometric)</t>
  </si>
  <si>
    <t>Empirical CAPM - The CFO Survey</t>
  </si>
  <si>
    <t>Empirical CAPM - Fernandez, Banuls, &amp; Acin</t>
  </si>
  <si>
    <t>Empirical CAPM - Ex Post (BVR Historical, Arithmeic)</t>
  </si>
  <si>
    <t>Empirical CAPM - Ex Post (BVR Historical, Geometric)</t>
  </si>
  <si>
    <t>Stock</t>
  </si>
  <si>
    <t>Dividends</t>
  </si>
  <si>
    <t>Per Share</t>
  </si>
  <si>
    <t>Dividend</t>
  </si>
  <si>
    <t>Historic</t>
  </si>
  <si>
    <t>Dividend Data</t>
  </si>
  <si>
    <t>Earnings</t>
  </si>
  <si>
    <t>Equity</t>
  </si>
  <si>
    <t>Equity Rate</t>
  </si>
  <si>
    <t>(F+G)</t>
  </si>
  <si>
    <t>(F+H)</t>
  </si>
  <si>
    <t xml:space="preserve">Yield Equity Rate - DGM (Dividend Growth) &amp; DGM (Earnings Growth)  </t>
  </si>
  <si>
    <t>Dividend Yield</t>
  </si>
  <si>
    <t xml:space="preserve">Projected Short Term </t>
  </si>
  <si>
    <t>DGM - Earnings Growth Rate &gt;</t>
  </si>
  <si>
    <t>DGM - Dividend Growth Rate &gt;</t>
  </si>
  <si>
    <t>Yield Equity Rate - DGM (Two-Stage)</t>
  </si>
  <si>
    <t>Stable</t>
  </si>
  <si>
    <t>Growth Rate</t>
  </si>
  <si>
    <t>Cost of</t>
  </si>
  <si>
    <t>g</t>
  </si>
  <si>
    <t>DY</t>
  </si>
  <si>
    <t>G1</t>
  </si>
  <si>
    <t>(G1 + g)/2</t>
  </si>
  <si>
    <t>KE = (DY X (1 + .5(G))) + .67 (G1) + .33(g)</t>
  </si>
  <si>
    <t>Kentucky</t>
  </si>
  <si>
    <t>Common Equity</t>
  </si>
  <si>
    <t>.</t>
  </si>
  <si>
    <t xml:space="preserve">Obligations rated Ca are highly speculative and are likely in, or very near, default, with some prospect of recovery in principal and interest. </t>
  </si>
  <si>
    <t xml:space="preserve">Obligations rated C are the lowest-rated class of bonds and are typical­ly in default, with little prospect for recovery of principal and interest. </t>
  </si>
  <si>
    <t xml:space="preserve">Obligations rated Caa are judged to be of poor standing and are subject to very high credit risk . </t>
  </si>
  <si>
    <t>Obligations rated Aaa are judged to be of the highest quality, with minimal risk.</t>
  </si>
  <si>
    <t xml:space="preserve">Obligations rated A are considered upper-medium-grade and are sub­ject to low credit risk. </t>
  </si>
  <si>
    <t xml:space="preserve">Obligations rated B are considered speculative and are subject to high credit risk. </t>
  </si>
  <si>
    <t xml:space="preserve">Obligations rated Ba are judged to have speculative elements and are subject to substantial credit risk. </t>
  </si>
  <si>
    <t xml:space="preserve">Obligations rated Baa are subject to moderate credit risk. They are considered medium-grade and as such may possess speculative characteristics. </t>
  </si>
  <si>
    <t>D1 = Expected Dividends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</si>
  <si>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</t>
    </r>
    <r>
      <rPr>
        <b/>
        <sz val="10"/>
        <color theme="1"/>
        <rFont val="Microsoft GothicNeo"/>
        <family val="2"/>
        <charset val="129"/>
      </rPr>
      <t>1</t>
    </r>
    <r>
      <rPr>
        <b/>
        <sz val="16"/>
        <color theme="1"/>
        <rFont val="Microsoft GothicNeo"/>
        <family val="2"/>
        <charset val="129"/>
      </rPr>
      <t xml:space="preserve"> / P</t>
    </r>
    <r>
      <rPr>
        <b/>
        <sz val="10"/>
        <color theme="1"/>
        <rFont val="Microsoft GothicNeo"/>
        <family val="2"/>
        <charset val="129"/>
      </rPr>
      <t>o</t>
    </r>
    <r>
      <rPr>
        <b/>
        <sz val="16"/>
        <color theme="1"/>
        <rFont val="Microsoft GothicNeo"/>
        <family val="2"/>
        <charset val="129"/>
      </rPr>
      <t>) + G</t>
    </r>
  </si>
  <si>
    <t>KE = Cost of Equity</t>
  </si>
  <si>
    <t>Po   = Current Price</t>
  </si>
  <si>
    <r>
      <t>Price (P</t>
    </r>
    <r>
      <rPr>
        <b/>
        <sz val="9"/>
        <color theme="1"/>
        <rFont val="Microsoft GothicNeo"/>
        <family val="2"/>
        <charset val="129"/>
      </rPr>
      <t>0</t>
    </r>
    <r>
      <rPr>
        <b/>
        <sz val="11"/>
        <color theme="1"/>
        <rFont val="Microsoft GothicNeo"/>
        <family val="2"/>
        <charset val="129"/>
      </rPr>
      <t>)</t>
    </r>
  </si>
  <si>
    <t xml:space="preserve">Dividend Growth Rate </t>
  </si>
  <si>
    <t xml:space="preserve">Earnings Per Share Growth Rate </t>
  </si>
  <si>
    <r>
      <t>Long Term Debt</t>
    </r>
    <r>
      <rPr>
        <b/>
        <sz val="10"/>
        <color theme="1"/>
        <rFont val="Microsoft GothicNeo"/>
        <family val="2"/>
        <charset val="129"/>
      </rPr>
      <t xml:space="preserve"> </t>
    </r>
  </si>
  <si>
    <t>CAPITAL ASSET PRICING MODEL (CAPM)</t>
  </si>
  <si>
    <t>Selected &gt;</t>
  </si>
  <si>
    <t>Inflation and Gross Domestic Product (GDP) Data</t>
  </si>
  <si>
    <t>SELECTED &gt;</t>
  </si>
  <si>
    <t>Equity Risk Premium (ERP)</t>
  </si>
  <si>
    <t>Indicated Equity Rate</t>
  </si>
  <si>
    <t>Industry Risk Premium</t>
  </si>
  <si>
    <t>Weighted Industry Risk Premium (75%)</t>
  </si>
  <si>
    <t>Weighted Equity Risk Premium (25%)</t>
  </si>
  <si>
    <t xml:space="preserve">The CFO Survey  (4) </t>
  </si>
  <si>
    <t>BVR - Historical, Arithmetic Mean  (6)</t>
  </si>
  <si>
    <t>BVR - Historical, Geometric Mean  (7)</t>
  </si>
  <si>
    <t>Empirical CAPM Models</t>
  </si>
  <si>
    <t>CAPM Models</t>
  </si>
  <si>
    <t>KE = Rf + (B  X  ERP X  75%) = (ERP  X  25%)</t>
  </si>
  <si>
    <t>KE = Rf + (B  X  ERP)</t>
  </si>
  <si>
    <t>Industry Beta (B)</t>
  </si>
  <si>
    <t>Value Line Earnings</t>
  </si>
  <si>
    <t>Value Line Dividends</t>
  </si>
  <si>
    <t>Yahoo Finance</t>
  </si>
  <si>
    <t>Return on</t>
  </si>
  <si>
    <t>Gross Revenue</t>
  </si>
  <si>
    <t>Multiplier</t>
  </si>
  <si>
    <t>NOPAT CASH FLOW MULTIPLE &amp; EQUITY RATE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</si>
  <si>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</si>
  <si>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Two-Stage DGM Rate &gt;</t>
  </si>
  <si>
    <t>DGM - Single Stage - Earnings Growth</t>
  </si>
  <si>
    <t>DGM - Single Stage - Dividend Growth</t>
  </si>
  <si>
    <t>DGM - Two Stage - Dividend Growth</t>
  </si>
  <si>
    <t>VL LT Projected NOI</t>
  </si>
  <si>
    <t>Indicated Rate of Debt &gt;</t>
  </si>
  <si>
    <t>Year End</t>
  </si>
  <si>
    <t>&amp; Finance Leases</t>
  </si>
  <si>
    <t>10K Income Statement</t>
  </si>
  <si>
    <t>10K Balance Sheet</t>
  </si>
  <si>
    <t>Indicated Rate of Equity Selected &gt;</t>
  </si>
  <si>
    <t>NOTE:</t>
  </si>
  <si>
    <t>SHORT-TERM GROWTH RATES (5 years)</t>
  </si>
  <si>
    <t>GROWTH &amp; INFLATION RATES</t>
  </si>
  <si>
    <t>Real LT Growth</t>
  </si>
  <si>
    <t>Federal Reserve Statistical Release  10 Yr Inflation protected Treasury securities (1)</t>
  </si>
  <si>
    <t xml:space="preserve">Federal Reserve Statistical Release  20 Yr Inflation protected Treasury securities (1) </t>
  </si>
  <si>
    <t xml:space="preserve">Federal Reserve Statistical Release  30 Yr Inflation protected Treasury securities (1) </t>
  </si>
  <si>
    <t>Federal Reserve Bank of Philadelphia / Livingston Survey Mean  (2)</t>
  </si>
  <si>
    <t>“Since no firm can grow forever at a rate higher than the growth rate of the economy in which it operates, the constant growth rate cannot be greater</t>
  </si>
  <si>
    <t>http://pages.stern.nyu.edu/~adamodar/New_Home_Page/valquestions/stablegrowthrate.htm</t>
  </si>
  <si>
    <t>*Cornell, B. &amp; Gerger, R. (2017) Estimating Terminal Values with Inflation : The Inputs Matter - It is Not a Formulaic Exercise.  Business Valuation Review, Vol.36, Number 4, 117-123.</t>
  </si>
  <si>
    <t>C1  C2  C3</t>
  </si>
  <si>
    <t>1 Yr Projected</t>
  </si>
  <si>
    <t>3-5 Yr Projected</t>
  </si>
  <si>
    <t>Short Term</t>
  </si>
  <si>
    <t>(1)</t>
  </si>
  <si>
    <t>(1)    4 Year compound annual growth rate (CAGR)  - 3 periods</t>
  </si>
  <si>
    <t>Earnings Data</t>
  </si>
  <si>
    <r>
      <t xml:space="preserve">KY DOR                    Earnings Growth Rate                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</si>
  <si>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r>
      <t xml:space="preserve">KY DOR                Dividends Growth Rate </t>
    </r>
    <r>
      <rPr>
        <b/>
        <sz val="9"/>
        <color theme="1"/>
        <rFont val="Microsoft GothicNeo"/>
        <family val="2"/>
        <charset val="129"/>
      </rPr>
      <t xml:space="preserve"> (Median / Average)</t>
    </r>
  </si>
  <si>
    <t>YIELD EQUITY RATE</t>
  </si>
  <si>
    <t>g = b X ROE</t>
  </si>
  <si>
    <t>g = LT growth rate</t>
  </si>
  <si>
    <t>b = reinvestment rate</t>
  </si>
  <si>
    <t>ROE = Return on equity (or return on investment)</t>
  </si>
  <si>
    <t>b = g  / ROE</t>
  </si>
  <si>
    <t>The plowback ratio is multiplied by Net Cash Flow to estimate the amount of additional capital expenditures needed to achieve projected results.</t>
  </si>
  <si>
    <t>Reinvestment Rate =</t>
  </si>
  <si>
    <t>EBIT (1-Tax Rate)</t>
  </si>
  <si>
    <t>Capital Expenditures - Depreciation + Change in Working Capital</t>
  </si>
  <si>
    <t>Aswath Damodaran's model to determine the Reinvesment Rate &gt;</t>
  </si>
  <si>
    <t>It is assumed that the ROE is a fixed (unchanging) rate.</t>
  </si>
  <si>
    <t>Maintenance Capital Expenditures and Change in Working Capital</t>
  </si>
  <si>
    <t>Operating Leases ****</t>
  </si>
  <si>
    <t>Market Value</t>
  </si>
  <si>
    <t>10K</t>
  </si>
  <si>
    <t>Market to</t>
  </si>
  <si>
    <t>Long Term Debt</t>
  </si>
  <si>
    <t xml:space="preserve">Capital </t>
  </si>
  <si>
    <t>Market</t>
  </si>
  <si>
    <t>to Book</t>
  </si>
  <si>
    <t>Composite</t>
  </si>
  <si>
    <t>Total</t>
  </si>
  <si>
    <t>AVERAGE</t>
  </si>
  <si>
    <t>Market to Book Ratios - Obsolescence Measurement</t>
  </si>
  <si>
    <t>Common Total Equity</t>
  </si>
  <si>
    <t>FMV / PV</t>
  </si>
  <si>
    <t>GCF CASH FLOW MULTIPLE &amp; EQUITY RATE</t>
  </si>
  <si>
    <r>
      <t xml:space="preserve">GCF CASH FLOW MULTIPLE &amp; EQUITY RATE </t>
    </r>
    <r>
      <rPr>
        <b/>
        <sz val="12"/>
        <color theme="1"/>
        <rFont val="Microsoft GothicNeo"/>
        <family val="2"/>
        <charset val="129"/>
      </rPr>
      <t>(1 Yr Projected VL)</t>
    </r>
  </si>
  <si>
    <t>CFRA                                    S&amp;P Net Advantage</t>
  </si>
  <si>
    <t>Zacks Investment Research</t>
  </si>
  <si>
    <t>*** Market value of operating leases for all companies including the airlines and railroads</t>
  </si>
  <si>
    <t>Companies excluded from the study &gt;</t>
  </si>
  <si>
    <r>
      <t>K</t>
    </r>
    <r>
      <rPr>
        <b/>
        <sz val="10"/>
        <color theme="1"/>
        <rFont val="Microsoft GothicNeo"/>
        <family val="2"/>
        <charset val="129"/>
      </rPr>
      <t>E</t>
    </r>
    <r>
      <rPr>
        <b/>
        <sz val="16"/>
        <color theme="1"/>
        <rFont val="Microsoft GothicNeo"/>
        <family val="2"/>
        <charset val="129"/>
      </rPr>
      <t xml:space="preserve"> = (DY  X  (1+ .5(G)))  + .67(G1)  +  .33(g)</t>
    </r>
  </si>
  <si>
    <t>G   = Average growth rate</t>
  </si>
  <si>
    <t>G1 = Short term growth estimate</t>
  </si>
  <si>
    <t>DY = Dividend Yield     See ValueLine</t>
  </si>
  <si>
    <t>g   = Stable Growth - Nominal growth rate</t>
  </si>
  <si>
    <t>AA+</t>
  </si>
  <si>
    <t>AAA</t>
  </si>
  <si>
    <t>AA</t>
  </si>
  <si>
    <t>Obligations rated Aa are judged to be of high quality, with minimal risk.</t>
  </si>
  <si>
    <t>AA-</t>
  </si>
  <si>
    <t>BBB+</t>
  </si>
  <si>
    <t>BBB</t>
  </si>
  <si>
    <t>BBB-</t>
  </si>
  <si>
    <t>BB+</t>
  </si>
  <si>
    <t>BB</t>
  </si>
  <si>
    <t>BB-</t>
  </si>
  <si>
    <t>B-</t>
  </si>
  <si>
    <t>CCC+</t>
  </si>
  <si>
    <t>CCC</t>
  </si>
  <si>
    <t>CCC-</t>
  </si>
  <si>
    <t>CC</t>
  </si>
  <si>
    <t>Scale</t>
  </si>
  <si>
    <t>Retained to</t>
  </si>
  <si>
    <t>Shareholders Equity</t>
  </si>
  <si>
    <t>Retained to Common Equity -- Net profit less all common and preferred dividends divided by common equity including intangible assets, expressed as a percentage.  Also known as the plowback ratio.</t>
  </si>
  <si>
    <t>Return on Shareholders Equity -- Annual net profit divided by year-end shareholders equity, expressed as a percentage.</t>
  </si>
  <si>
    <t>Ca1</t>
  </si>
  <si>
    <t>Ca2</t>
  </si>
  <si>
    <t>Ca3</t>
  </si>
  <si>
    <t>CC+</t>
  </si>
  <si>
    <t>CC-</t>
  </si>
  <si>
    <t>AAA-</t>
  </si>
  <si>
    <t>AAA+</t>
  </si>
  <si>
    <t>Aaa1</t>
  </si>
  <si>
    <t>Aaa2</t>
  </si>
  <si>
    <t>Aaa3</t>
  </si>
  <si>
    <t>Share</t>
  </si>
  <si>
    <t>Gross Revenues</t>
  </si>
  <si>
    <t>NOPAT Earnings</t>
  </si>
  <si>
    <t>The purpose of this ratio is to test whether the market price is worth more (or less) than the cost of the assets.</t>
  </si>
  <si>
    <t>If the result is greater than one(1), it indicates the market value exceeds book value and can often be used as a sign of competent management.</t>
  </si>
  <si>
    <t>The higher the return on revenue the higher the price to revenue will be.</t>
  </si>
  <si>
    <t>Cash flow is typically defined to be net income plus depreciation and amortization.</t>
  </si>
  <si>
    <t xml:space="preserve">This measure is considered relevant for companies with high non-cash charges reflected in the income statement.  Non-cash charges include depreciation &amp; amortization, goodwill impairments, asset write downs, </t>
  </si>
  <si>
    <t>stock based compensation, and deferred income taxes and investment tax credits.</t>
  </si>
  <si>
    <t>P/E Ratio - Long Term Projection NOPAT</t>
  </si>
  <si>
    <t>CS+LTD +PS + OL</t>
  </si>
  <si>
    <t>&amp; Op Leases</t>
  </si>
  <si>
    <t xml:space="preserve">For rate based companies, the maximum allowed  'rate of return' established by state regulators is not comparable (a mismatch) to the 'cost of equity' calculated above.   </t>
  </si>
  <si>
    <t>Earnings Growth = DY + EG</t>
  </si>
  <si>
    <t>Dividend Growth = DY + DG</t>
  </si>
  <si>
    <t>EG = Earnings Growth</t>
  </si>
  <si>
    <t>DG = Dividend Growth</t>
  </si>
  <si>
    <t>DY = Dividend Yield</t>
  </si>
  <si>
    <t>G = Projected Growth (Earnings Per Share 5 Yr Growth Rate)</t>
  </si>
  <si>
    <t>G = Projected Growth (Div. 5 Yr Growth Rate)</t>
  </si>
  <si>
    <t>Pipeline MLPs</t>
  </si>
  <si>
    <t>Energy Transfer LP</t>
  </si>
  <si>
    <t>ET</t>
  </si>
  <si>
    <t>Enterprise Products Partnership LP</t>
  </si>
  <si>
    <t>EPD</t>
  </si>
  <si>
    <t>Companies to consider in the study &gt;</t>
  </si>
  <si>
    <t>General Partner Units</t>
  </si>
  <si>
    <t>Gross Book Value Equity</t>
  </si>
  <si>
    <t>GROSS REVENUE &amp; GROSS BOOK (EQUITY) MULTIPLES</t>
  </si>
  <si>
    <t>Multiple *</t>
  </si>
  <si>
    <t>* This multiple is applicable to service type companies, or those with few assets.  These companies sell at prices related to their revenues.</t>
  </si>
  <si>
    <t>** The book value, or common equity, per share is total owners' equity minus preferred stock divided by the number of common shares outstanding.</t>
  </si>
  <si>
    <t xml:space="preserve">Property, Plant &amp; Equipment includes CWIP, but should exclude intangibles and the associated amortization.  </t>
  </si>
  <si>
    <t>Common Total Equity excludes 'noncontrolling interests' equity value.</t>
  </si>
  <si>
    <t xml:space="preserve">http://www.federalreserve.gov/Releases/H15/Current/ </t>
  </si>
  <si>
    <t>Projected 1 Yr</t>
  </si>
  <si>
    <t>Earnings Per Share Growth Rate</t>
  </si>
  <si>
    <t>Estimated 20-22 to 26-28</t>
  </si>
  <si>
    <t>Enbridge Inc</t>
  </si>
  <si>
    <t>ENB.TO</t>
  </si>
  <si>
    <t>Oil &amp; Gas Distribution</t>
  </si>
  <si>
    <t>Kinder Morgan Inc</t>
  </si>
  <si>
    <t>KMI</t>
  </si>
  <si>
    <t>ONEOK Inc</t>
  </si>
  <si>
    <t>OKE</t>
  </si>
  <si>
    <t>TC Energy Corp</t>
  </si>
  <si>
    <t>TRP</t>
  </si>
  <si>
    <t>Williams Companys Inc</t>
  </si>
  <si>
    <t>WMB</t>
  </si>
  <si>
    <t>Antero Midstream Corp (AM) - This company is engaged in gas gathering, processing, well clean-up, compression, and well completion operations</t>
  </si>
  <si>
    <t>Clean Energy Fuels (CLNE) - Provides compressed gas to service stations and gas leased vehicles.</t>
  </si>
  <si>
    <t>Pembina Pipeline (PPL.TO) Candian location.  Does have pipelines for gas &amp; oil tranportation in western Canada.</t>
  </si>
  <si>
    <t>World Fuel Services (INT) - This company sells marine and aviation fuel products.</t>
  </si>
  <si>
    <t>Companies added to the study &gt;</t>
  </si>
  <si>
    <t>Cheniere Energy - LNG business.  Pipelines in the Gulf coast area</t>
  </si>
  <si>
    <t>Per Share  or Unit**</t>
  </si>
  <si>
    <t>US Dollars</t>
  </si>
  <si>
    <t xml:space="preserve">Risk Free Rate (Rf) </t>
  </si>
  <si>
    <t>CAPM - Ex Ante, Three Stage - V1</t>
  </si>
  <si>
    <t>CAPM - Ex Ante, Three Stage - V2</t>
  </si>
  <si>
    <t>Empirical CAPM - Ex Ante, Three Stage - V1</t>
  </si>
  <si>
    <t>Empirical CAPM - Ex Ante, Three Stage - V2</t>
  </si>
  <si>
    <t>Mean</t>
  </si>
  <si>
    <t xml:space="preserve">S&amp;P Rating </t>
  </si>
  <si>
    <t>A market to book ratio over one would be an indication of no obsolescence.</t>
  </si>
  <si>
    <t>http://pages.stern.nyu.edu/~adamodar/New_Home_Page/datacurrent.html</t>
  </si>
  <si>
    <t>https://www.richmondfed.org/research/national_economy/cfo_survey</t>
  </si>
  <si>
    <t>https://www.bvresources.com/products/faqs/cost-of-capital-professional</t>
  </si>
  <si>
    <t>Natural Gas Transmission Pipeline Carrier</t>
  </si>
  <si>
    <t>Damodaran Implied ERP Ex Ante   Trailing 12 mo Cash Yield (3)</t>
  </si>
  <si>
    <t>Damodaran Implied ERP Ex Ante   Net Cash Yield (3)</t>
  </si>
  <si>
    <t>Damodaran Implied ERP Ex Ante   Norm. Earnings &amp; Payout (3)</t>
  </si>
  <si>
    <t>KROLL Ex Post  - ERP Historical (8)</t>
  </si>
  <si>
    <t>KROLL Ex Post - ERP Supply Side (8)</t>
  </si>
  <si>
    <t>KROLL Ex Ante - ERP Conditional (8)</t>
  </si>
  <si>
    <t>CAPM - Ex Ante  Damodaran 12 Mo Cash Yield</t>
  </si>
  <si>
    <t>CAPM - Ex Ante  Damodaran Net Cash Yield</t>
  </si>
  <si>
    <t>CAPM - Ex Ante  Damodaran NEP</t>
  </si>
  <si>
    <t>CAPM - Ex Post KROLL ERP Historical</t>
  </si>
  <si>
    <t>CAPM - Ex Post  KROLL ERP Supply Side</t>
  </si>
  <si>
    <t>CAPM - Ex Ante  KROLL ERP Conditional</t>
  </si>
  <si>
    <t>Empirical CAPM - Ex Ante  Damodaran 12 Mo Cash Yield</t>
  </si>
  <si>
    <t>Empirical CAPM - Ex Ante  Damodaran Net Cash Yield</t>
  </si>
  <si>
    <t>Empirical CAPM - Ex Ante  Damodaran NEP</t>
  </si>
  <si>
    <t>Empirical CAPM - Ex Post KROLL ERP Historical</t>
  </si>
  <si>
    <t>Empirical CAPM - Ex Post  KROLL ERP Supply Side</t>
  </si>
  <si>
    <t>Empirical CAPM - Ex Ante  KROLL ERP Conditional</t>
  </si>
  <si>
    <t>Damodaran Implied ERP Ex Ante   Avg CF Yield Last 10 Yrs (3)</t>
  </si>
  <si>
    <t>P. Fernandez, T. Garcia de Santos &amp; J.F.Acin  (5)</t>
  </si>
  <si>
    <t>CAPM - Ex Ante  Damodaran Avg CF Yield Last 10 Yrs</t>
  </si>
  <si>
    <t>Empirical CAPM - Ex Ante  Damodaran Avg CF Yield Last 10 Yrs</t>
  </si>
  <si>
    <t xml:space="preserve">DCP Midstream (DCP) - Company sold to Philips 66 </t>
  </si>
  <si>
    <t>Corporate                          December Avg</t>
  </si>
  <si>
    <t>Utility                                                December Avg</t>
  </si>
  <si>
    <t>INFLATION (CPI) &amp; GROSS DOMESTIC PRODUCT (GDP)</t>
  </si>
  <si>
    <t>Federal Reserve Bank of Philadelphia / Livingston Survey  Median (2a)</t>
  </si>
  <si>
    <t>Federal Reserve Bank of Philadelphia  /Survey of Professional Forecasters  Mean (2b)</t>
  </si>
  <si>
    <t xml:space="preserve">Congressional Budget Office Real Economic Projections (3)  </t>
  </si>
  <si>
    <t xml:space="preserve">Congressional Budget Office Real Economic Projections (3a)  </t>
  </si>
  <si>
    <t xml:space="preserve">Congressional Budget Office Real Economic Projections (3b)  </t>
  </si>
  <si>
    <t>The Trading Economics (4)</t>
  </si>
  <si>
    <t>The World Bank (5)</t>
  </si>
  <si>
    <t xml:space="preserve">Federal Reserve Bank "Long Term" Projection - Members &amp; Presidents opinion (6) </t>
  </si>
  <si>
    <t>The Federal Reserve Bank projects their "long-term" estimate of Change in US real GDP at 1.8%</t>
  </si>
  <si>
    <t xml:space="preserve">than the overall growth rate of the economy.”  Dr. Aswath Damodaran (n.d.) The Stable Growth Rate </t>
  </si>
  <si>
    <t>SOURCES:</t>
  </si>
  <si>
    <t>(1)  Federal Reserve Statistical Release</t>
  </si>
  <si>
    <t>(2) (2a)  Federal Reserve Bank of Philadelphia - The Livingston Survey</t>
  </si>
  <si>
    <t>(2b)  Federal Reserve Bank of Philadelphia - Survey of Professional Forecasters</t>
  </si>
  <si>
    <t>(3) (3a) (3b)  The Congressional Budget Office</t>
  </si>
  <si>
    <t>Budget and Economic Data | Congressional Budget Office</t>
  </si>
  <si>
    <t>https://www.cbo.gov/publication/60870</t>
  </si>
  <si>
    <t>(4) The Trading Economics</t>
  </si>
  <si>
    <t>https://tradingeconomics.com/united-states/full-year-gdp-growth</t>
  </si>
  <si>
    <t xml:space="preserve">(5) The World Bank </t>
  </si>
  <si>
    <t>World Bank Group Flagship Report, GlobalEconomic Prospects,  Page 4  Table 1.1 Real GDP</t>
  </si>
  <si>
    <t>http://www.worldbank.org/en/publication/global-economic-prospects</t>
  </si>
  <si>
    <t>(6) Board of Governors of the Federal Reserve System - Federal Reserve Bank Members &amp; Presidents Opinion</t>
  </si>
  <si>
    <t xml:space="preserve">(1) Three Stage Dividend Growth Model, S&amp;P 500.  The Three Stage Ex Ante calculations were performed by Montana.  The Equity risk premiums are shown above.  </t>
  </si>
  <si>
    <t xml:space="preserve">(2) Three Stage Dividend Growth Model, S&amp;P 500.  The Three Stage Ex Ante calculations were performed by Minnesota.  The Equity risk premiums are shown above.  </t>
  </si>
  <si>
    <t>RISK FREE RATE (Rf)</t>
  </si>
  <si>
    <t xml:space="preserve">10-year U.S. Treasury coupon bonds 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</si>
  <si>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20-year U.S. Treasury coupon bonds</t>
    </r>
  </si>
  <si>
    <t>30-year U.S. Treasury coupon bonds</t>
  </si>
  <si>
    <t>KDOR Selected Risk Free Rate (Rf) &gt;</t>
  </si>
  <si>
    <t>20-year U.S. Treasury coupon bonds</t>
  </si>
  <si>
    <r>
      <rPr>
        <b/>
        <sz val="7"/>
        <color theme="1"/>
        <rFont val="Microsoft GothicNeo Light"/>
        <family val="2"/>
        <charset val="129"/>
      </rPr>
      <t xml:space="preserve"> </t>
    </r>
    <r>
      <rPr>
        <b/>
        <sz val="10"/>
        <color theme="1"/>
        <rFont val="Microsoft GothicNeo Light"/>
        <family val="2"/>
        <charset val="129"/>
      </rPr>
      <t>30-year U.S. Treasury coupon bonds</t>
    </r>
  </si>
  <si>
    <t>http://pages.stern.nyu.edu/~adamodar/</t>
  </si>
  <si>
    <t>Three Stage Ex Ante  Version 1  (1)</t>
  </si>
  <si>
    <t>Three Stage Ex Ante  Version 2   (2)</t>
  </si>
  <si>
    <t>Canadian Conversion = .6948 USD</t>
  </si>
  <si>
    <t>Enlink Midstream (ENLC) - Bought by ONEOK INC. No longer Publicly Traded</t>
  </si>
  <si>
    <t>Estimated 21-23 to 28-30</t>
  </si>
  <si>
    <t>Vl Projected 2026</t>
  </si>
  <si>
    <r>
      <t xml:space="preserve">NOPAT CASH FLOW MULTIPLE &amp; EQUITY RATE </t>
    </r>
    <r>
      <rPr>
        <b/>
        <sz val="12"/>
        <color theme="1"/>
        <rFont val="Microsoft GothicNeo"/>
        <family val="2"/>
        <charset val="129"/>
      </rPr>
      <t>(LT 28-30 Yr Projected VL)</t>
    </r>
  </si>
  <si>
    <t>Moody's Bond</t>
  </si>
  <si>
    <t>Moody's Rating</t>
  </si>
  <si>
    <t>DEBT RATE for Direct and Yield Approach</t>
  </si>
  <si>
    <t>NA</t>
  </si>
  <si>
    <t>2026 CAPITALIZATION RATE STUDY</t>
  </si>
  <si>
    <t>2026 Tax Year</t>
  </si>
  <si>
    <t xml:space="preserve">(6) &amp; (7) Business Valuation Resources, Cost of Capital Professional. (2026). Historical ERP 1928 to present, using arithmetic mean, geometric mean, and 20-Year Treasury Securities. </t>
  </si>
  <si>
    <t>(8) KROLL, Cost of Capital Navigator. (2026).  See Montana Cap Rate Study.</t>
  </si>
  <si>
    <t>Federal Reserve Statistical Release (January 2, 2026)  Treasury Constant Maturities, Nominal (1) :</t>
  </si>
  <si>
    <t>Value Line Investment Survey (January 10, 2026)  Selected Yields on Taxable U.S. Treasury Securities :</t>
  </si>
  <si>
    <t>Damodaran selected Risk-Free rate (January 1, 2026) (7) :</t>
  </si>
  <si>
    <t>KROLL Cost of Capital Navigator Risk-Free rate Ex Post  (January 1, 2026) :</t>
  </si>
  <si>
    <t>First Qtr. 2026,  Feb. 14, 2026, Table 8 &amp; Table 9, Average (Mean) over next 10 yrs</t>
  </si>
  <si>
    <t>Real Economic Projections, Table C-1 Table C-2 pages 27 &amp; 28 Annual Avg. Economic Projections for Calendar years 2026to 2035</t>
  </si>
  <si>
    <t>The Budget and Economic Outlook: 2026 to 2035</t>
  </si>
  <si>
    <t xml:space="preserve">https://www.cbo.gov/system/files/2026-01/60870-Outlook-2026.pdf </t>
  </si>
  <si>
    <t>Trading Economics, United States,  Full Year GDP Growth Rate Forecast for 2026</t>
  </si>
  <si>
    <t>YEAR END 12/31/2025</t>
  </si>
  <si>
    <t>Dec. 31, 2025</t>
  </si>
  <si>
    <t xml:space="preserve">Dec. 20, 2025, Table 3, pg. 8 Mean Inflation Rate &amp; Real GDP for next 10 yrs. </t>
  </si>
  <si>
    <t>Dec. 20, 2025, Table 3, pg. 8 Median Annual CPI Rate &amp; Real GDP Growth Rate over next 10 yrs.</t>
  </si>
  <si>
    <t>January 2025-2026</t>
  </si>
  <si>
    <t>https://www.federalreserve.gov/monetarypolicy/files/fomcprojtabl20251218.pd</t>
  </si>
  <si>
    <t>US Dollar to Canadian Dollar Exchange Rate = 1.3725</t>
  </si>
  <si>
    <t>Canadian Conversion = .6275 USD</t>
  </si>
  <si>
    <t>NMF</t>
  </si>
  <si>
    <t>(3) Implied Equity Risk Premium on January 2, 2026 as determined by Dr. Aswath Damodaran</t>
  </si>
  <si>
    <t xml:space="preserve">(4) The CFO Survey (2025). Data &amp; Results December 17, 2025. Mean average annual S&amp;P return over next ten years (9.9%) less annual yield on 10-year Treasury Bonds (4.29%). </t>
  </si>
  <si>
    <t>(5) Fernandez, P., Garcia D., &amp; Acin, J. F. (2025). Survey: Market Risk Premium and Risk-Free Rate used for 54 countries in 2025. SSRN Electronic Journal.</t>
  </si>
  <si>
    <t>na</t>
  </si>
  <si>
    <t>The Congressional Budget Office projects the U.S. Real GDP annual growth rate of 2.2% in 2026 and 1.8% in 2027       Core CPI = 2.30%</t>
  </si>
  <si>
    <t>The Congressional Budget Office projects the U.S. Inflation CPI 4th Qtr. To 4th Qtr. 2.7% in 2026  2.3% in 2027, 2.0% in 2028 and 2029 to 2030.  2.0% 2031 to 2036</t>
  </si>
  <si>
    <t>The Congressional Budget Office projects the U.S. Real GDP annual growth rates of 1.8% from 2029 to 2030 and 1.8% from 2031 to 2036</t>
  </si>
  <si>
    <t>The Congressional Budget Office projects the U.S. Real GDP average annual (Yr to Yr) growth rates of 2.21% from 2026 to 2030 and 1.80% from 2030 to 2035 and 1.90 GDP overall from 2026 to 2036</t>
  </si>
  <si>
    <t>January 2, 2026  Compare inflation indexed securities to non-inflation indexed securities.  The difference is the inflation rate.  See Minnesota study page 36pdf or Washington study page 6.</t>
  </si>
  <si>
    <t>Medium projection value from Dec. 10, 2025 report Table 1</t>
  </si>
  <si>
    <t>B++</t>
  </si>
  <si>
    <t xml:space="preserve">(5) Fernandez, P., Garcia D., &amp; Acin, J. </t>
  </si>
  <si>
    <t>(7) Aswath Damodaran</t>
  </si>
  <si>
    <t>January 2, 2026  Compare inflation indexed securities to non-inflation inde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</si>
</sst>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_(* #,##0.0000_);_(* \(#,##0.0000\);_(* &quot;-&quot;??_);_(@_)"/>
    <numFmt numFmtId="167" formatCode="_(* #,##0.000_);_(* \(#,##0.000\);_(* &quot;-&quot;??_);_(@_)"/>
  </numFmts>
  <fonts count="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Helvetica Narrow Bold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Georgia"/>
      <family val="1"/>
    </font>
    <font>
      <sz val="11"/>
      <color theme="1"/>
      <name val="Georgia"/>
      <family val="1"/>
    </font>
    <font>
      <b/>
      <i/>
      <sz val="22"/>
      <color theme="1"/>
      <name val="Georgia"/>
      <family val="1"/>
    </font>
    <font>
      <i/>
      <sz val="11"/>
      <color theme="1"/>
      <name val="Georgia"/>
      <family val="1"/>
    </font>
    <font>
      <b/>
      <sz val="11"/>
      <color theme="1"/>
      <name val="Palatino Roman"/>
      <family val="1"/>
    </font>
    <font>
      <sz val="11"/>
      <color theme="1"/>
      <name val="Palatino Roman"/>
      <family val="1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sz val="12"/>
      <name val="TIMES"/>
    </font>
    <font>
      <u/>
      <sz val="11"/>
      <color theme="10"/>
      <name val="Calibri"/>
      <family val="2"/>
      <scheme val="minor"/>
    </font>
    <font>
      <sz val="11"/>
      <color theme="1"/>
      <name val="Microsoft GothicNeo"/>
      <family val="2"/>
      <charset val="129"/>
    </font>
    <font>
      <sz val="11"/>
      <name val="Microsoft GothicNeo"/>
      <family val="2"/>
      <charset val="129"/>
    </font>
    <font>
      <b/>
      <sz val="11"/>
      <color theme="1"/>
      <name val="Microsoft GothicNeo"/>
      <family val="2"/>
      <charset val="129"/>
    </font>
    <font>
      <b/>
      <sz val="11"/>
      <name val="Microsoft GothicNeo"/>
      <family val="2"/>
      <charset val="129"/>
    </font>
    <font>
      <b/>
      <sz val="18"/>
      <color theme="1"/>
      <name val="Microsoft GothicNeo"/>
      <family val="2"/>
      <charset val="129"/>
    </font>
    <font>
      <b/>
      <sz val="16"/>
      <color theme="1"/>
      <name val="Microsoft GothicNeo"/>
      <family val="2"/>
      <charset val="129"/>
    </font>
    <font>
      <b/>
      <sz val="12"/>
      <color indexed="8"/>
      <name val="Microsoft GothicNeo"/>
      <family val="2"/>
      <charset val="129"/>
    </font>
    <font>
      <b/>
      <sz val="11"/>
      <color indexed="8"/>
      <name val="Microsoft GothicNeo"/>
      <family val="2"/>
      <charset val="129"/>
    </font>
    <font>
      <b/>
      <sz val="11"/>
      <color rgb="FFFF0000"/>
      <name val="Microsoft GothicNeo"/>
      <family val="2"/>
      <charset val="129"/>
    </font>
    <font>
      <b/>
      <sz val="14"/>
      <color theme="1"/>
      <name val="Microsoft GothicNeo"/>
      <family val="2"/>
      <charset val="129"/>
    </font>
    <font>
      <b/>
      <sz val="10"/>
      <color theme="1"/>
      <name val="Microsoft GothicNeo"/>
      <family val="2"/>
      <charset val="129"/>
    </font>
    <font>
      <sz val="9"/>
      <color theme="1"/>
      <name val="Microsoft GothicNeo"/>
      <family val="2"/>
      <charset val="129"/>
    </font>
    <font>
      <sz val="10"/>
      <color theme="1"/>
      <name val="Microsoft GothicNeo"/>
      <family val="2"/>
      <charset val="129"/>
    </font>
    <font>
      <i/>
      <sz val="9"/>
      <color theme="1"/>
      <name val="Microsoft GothicNeo"/>
      <family val="2"/>
      <charset val="129"/>
    </font>
    <font>
      <b/>
      <sz val="9"/>
      <color theme="1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b/>
      <i/>
      <sz val="10"/>
      <color theme="1"/>
      <name val="Microsoft GothicNeo"/>
      <family val="2"/>
      <charset val="129"/>
    </font>
    <font>
      <sz val="16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b/>
      <sz val="12"/>
      <name val="Microsoft GothicNeo"/>
      <family val="2"/>
      <charset val="129"/>
    </font>
    <font>
      <b/>
      <i/>
      <u/>
      <sz val="11"/>
      <color theme="1"/>
      <name val="Microsoft GothicNeo"/>
      <family val="2"/>
      <charset val="129"/>
    </font>
    <font>
      <b/>
      <i/>
      <sz val="11"/>
      <color theme="1"/>
      <name val="Microsoft GothicNeo"/>
      <family val="2"/>
      <charset val="129"/>
    </font>
    <font>
      <i/>
      <sz val="10"/>
      <color theme="1"/>
      <name val="Microsoft GothicNeo"/>
      <family val="2"/>
      <charset val="129"/>
    </font>
    <font>
      <b/>
      <sz val="16"/>
      <name val="Microsoft GothicNeo"/>
      <family val="2"/>
      <charset val="129"/>
    </font>
    <font>
      <b/>
      <sz val="16"/>
      <color rgb="FFFF0000"/>
      <name val="Microsoft GothicNeo"/>
      <family val="2"/>
      <charset val="129"/>
    </font>
    <font>
      <i/>
      <sz val="11"/>
      <color theme="1"/>
      <name val="Microsoft GothicNeo"/>
      <family val="2"/>
      <charset val="129"/>
    </font>
    <font>
      <b/>
      <sz val="14"/>
      <name val="Microsoft GothicNeo"/>
      <family val="2"/>
      <charset val="129"/>
    </font>
    <font>
      <u/>
      <sz val="11"/>
      <color theme="10"/>
      <name val="Microsoft GothicNeo"/>
      <family val="2"/>
      <charset val="129"/>
    </font>
    <font>
      <b/>
      <sz val="14"/>
      <color rgb="FFFF0000"/>
      <name val="Microsoft GothicNeo"/>
      <family val="2"/>
      <charset val="129"/>
    </font>
    <font>
      <b/>
      <sz val="11"/>
      <color theme="1"/>
      <name val="Calibri"/>
      <family val="2"/>
      <scheme val="minor"/>
    </font>
    <font>
      <sz val="14"/>
      <color theme="1"/>
      <name val="Microsoft GothicNeo"/>
      <family val="2"/>
      <charset val="129"/>
    </font>
    <font>
      <sz val="20"/>
      <color theme="1"/>
      <name val="Microsoft GothicNeo"/>
      <family val="2"/>
      <charset val="129"/>
    </font>
    <font>
      <b/>
      <sz val="20"/>
      <color theme="1"/>
      <name val="Microsoft GothicNeo"/>
      <family val="2"/>
      <charset val="129"/>
    </font>
    <font>
      <b/>
      <sz val="11"/>
      <color indexed="81"/>
      <name val="Tahoma"/>
      <family val="2"/>
    </font>
    <font>
      <sz val="11"/>
      <color indexed="81"/>
      <name val="Tahoma"/>
      <family val="2"/>
    </font>
    <font>
      <b/>
      <i/>
      <sz val="18"/>
      <color rgb="FF0000CC"/>
      <name val="Microsoft GothicNeo"/>
      <family val="2"/>
      <charset val="129"/>
    </font>
    <font>
      <sz val="12"/>
      <color rgb="FF000000"/>
      <name val="Microsoft GothicNeo"/>
      <family val="2"/>
      <charset val="129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2"/>
      <color rgb="FF000000"/>
      <name val="Microsoft GothicNeo"/>
      <family val="2"/>
      <charset val="129"/>
    </font>
    <font>
      <b/>
      <sz val="9"/>
      <name val="Microsoft GothicNeo"/>
      <family val="2"/>
      <charset val="129"/>
    </font>
    <font>
      <i/>
      <sz val="12"/>
      <color theme="1"/>
      <name val="Microsoft GothicNeo"/>
      <family val="2"/>
      <charset val="129"/>
    </font>
    <font>
      <sz val="11"/>
      <color rgb="FF0000CC"/>
      <name val="Microsoft GothicNeo"/>
      <family val="2"/>
      <charset val="129"/>
    </font>
    <font>
      <b/>
      <sz val="12"/>
      <color rgb="FF0000CC"/>
      <name val="Microsoft GothicNeo"/>
      <family val="2"/>
      <charset val="129"/>
    </font>
    <font>
      <sz val="11"/>
      <color theme="1"/>
      <name val="Cordia New"/>
      <family val="2"/>
      <charset val="222"/>
    </font>
    <font>
      <b/>
      <sz val="11"/>
      <color theme="1"/>
      <name val="Cordia New"/>
      <family val="2"/>
      <charset val="222"/>
    </font>
    <font>
      <b/>
      <i/>
      <sz val="14"/>
      <name val="Microsoft GothicNeo"/>
      <family val="2"/>
      <charset val="129"/>
    </font>
    <font>
      <b/>
      <i/>
      <sz val="12"/>
      <name val="Microsoft GothicNeo"/>
      <family val="2"/>
      <charset val="129"/>
    </font>
    <font>
      <sz val="12"/>
      <color theme="1"/>
      <name val="Cordia New"/>
      <family val="2"/>
      <charset val="222"/>
    </font>
    <font>
      <u/>
      <sz val="12"/>
      <color rgb="FF0000CC"/>
      <name val="Microsoft GothicNeo"/>
      <family val="2"/>
      <charset val="129"/>
    </font>
    <font>
      <sz val="10"/>
      <name val="Cordia New"/>
      <family val="2"/>
      <charset val="222"/>
    </font>
    <font>
      <u/>
      <sz val="11"/>
      <color rgb="FF0000CC"/>
      <name val="Cordia New"/>
      <family val="2"/>
      <charset val="222"/>
    </font>
    <font>
      <sz val="10"/>
      <color theme="1"/>
      <name val="Cordia New"/>
      <family val="2"/>
      <charset val="222"/>
    </font>
    <font>
      <u/>
      <sz val="11"/>
      <color theme="10"/>
      <name val="Cordia New"/>
      <family val="2"/>
      <charset val="222"/>
    </font>
    <font>
      <sz val="11"/>
      <name val="Cordia New"/>
      <family val="2"/>
      <charset val="222"/>
    </font>
    <font>
      <sz val="9"/>
      <color rgb="FFC00000"/>
      <name val="Aptos"/>
      <family val="2"/>
    </font>
    <font>
      <b/>
      <sz val="11"/>
      <color theme="1"/>
      <name val="Microsoft GothicNeo Light"/>
      <family val="2"/>
      <charset val="129"/>
    </font>
    <font>
      <b/>
      <sz val="14"/>
      <color theme="1"/>
      <name val="Microsoft GothicNeo Light"/>
      <family val="2"/>
      <charset val="129"/>
    </font>
    <font>
      <b/>
      <sz val="10"/>
      <color theme="1"/>
      <name val="Microsoft GothicNeo Light"/>
      <family val="2"/>
      <charset val="129"/>
    </font>
    <font>
      <b/>
      <sz val="7"/>
      <color theme="1"/>
      <name val="Microsoft GothicNeo Light"/>
      <family val="2"/>
      <charset val="129"/>
    </font>
    <font>
      <sz val="8"/>
      <name val="Calibri"/>
      <family val="2"/>
      <scheme val="minor"/>
    </font>
    <font>
      <sz val="12"/>
      <name val="Microsoft GothicNeo"/>
      <family val="2"/>
      <charset val="129"/>
    </font>
    <font>
      <b/>
      <sz val="12"/>
      <color rgb="FFA20000"/>
      <name val="Microsoft GothicNeo"/>
      <family val="2"/>
      <charset val="129"/>
    </font>
    <font>
      <sz val="12"/>
      <color rgb="FFA20000"/>
      <name val="Microsoft GothicNeo"/>
      <family val="2"/>
      <charset val="129"/>
    </font>
    <font>
      <sz val="11"/>
      <color rgb="FFA20000"/>
      <name val="Microsoft GothicNeo"/>
      <family val="2"/>
      <charset val="129"/>
    </font>
    <font>
      <b/>
      <sz val="11"/>
      <color rgb="FFA20000"/>
      <name val="Microsoft GothicNeo"/>
      <family val="2"/>
      <charset val="129"/>
    </font>
    <font>
      <b/>
      <sz val="11"/>
      <color rgb="FF5C0000"/>
      <name val="Microsoft GothicNeo"/>
      <family val="2"/>
      <charset val="129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7" fillId="0" borderId="0"/>
    <xf numFmtId="0" fontId="17" fillId="0" borderId="0"/>
    <xf numFmtId="0" fontId="18" fillId="0" borderId="0" applyNumberFormat="0" applyFill="0" applyBorder="0" applyAlignment="0" applyProtection="0"/>
  </cellStyleXfs>
  <cellXfs count="490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1" applyNumberFormat="1" applyFont="1"/>
    <xf numFmtId="0" fontId="4" fillId="0" borderId="0" xfId="0" applyFont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3" fontId="2" fillId="0" borderId="0" xfId="0" applyNumberFormat="1" applyFont="1"/>
    <xf numFmtId="0" fontId="19" fillId="0" borderId="0" xfId="0" applyFont="1"/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right"/>
    </xf>
    <xf numFmtId="43" fontId="22" fillId="0" borderId="0" xfId="1" applyFont="1" applyAlignment="1">
      <alignment horizontal="right" vertical="center"/>
    </xf>
    <xf numFmtId="43" fontId="22" fillId="0" borderId="0" xfId="1" applyFont="1" applyFill="1" applyAlignment="1">
      <alignment horizontal="right" vertical="center"/>
    </xf>
    <xf numFmtId="43" fontId="21" fillId="0" borderId="0" xfId="1" applyFont="1" applyFill="1" applyAlignment="1">
      <alignment horizontal="right"/>
    </xf>
    <xf numFmtId="43" fontId="21" fillId="0" borderId="0" xfId="1" applyFont="1" applyFill="1" applyAlignment="1">
      <alignment horizontal="center"/>
    </xf>
    <xf numFmtId="43" fontId="21" fillId="0" borderId="0" xfId="1" applyFont="1" applyFill="1" applyAlignment="1">
      <alignment horizontal="center" vertical="center"/>
    </xf>
    <xf numFmtId="43" fontId="21" fillId="0" borderId="0" xfId="1" applyFont="1" applyFill="1" applyBorder="1" applyAlignment="1">
      <alignment horizontal="center" vertical="center"/>
    </xf>
    <xf numFmtId="43" fontId="21" fillId="0" borderId="0" xfId="1" applyFont="1" applyFill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7" fillId="0" borderId="0" xfId="0" applyFont="1"/>
    <xf numFmtId="0" fontId="28" fillId="0" borderId="15" xfId="0" applyFont="1" applyBorder="1"/>
    <xf numFmtId="0" fontId="19" fillId="0" borderId="2" xfId="0" applyFont="1" applyBorder="1"/>
    <xf numFmtId="0" fontId="28" fillId="0" borderId="0" xfId="0" applyFont="1"/>
    <xf numFmtId="0" fontId="24" fillId="0" borderId="0" xfId="0" applyFont="1" applyAlignment="1">
      <alignment horizontal="center"/>
    </xf>
    <xf numFmtId="0" fontId="29" fillId="0" borderId="2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1" fillId="0" borderId="2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3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1" fillId="0" borderId="0" xfId="0" applyFont="1"/>
    <xf numFmtId="166" fontId="22" fillId="0" borderId="0" xfId="1" applyNumberFormat="1" applyFont="1" applyFill="1" applyAlignment="1">
      <alignment horizontal="center"/>
    </xf>
    <xf numFmtId="166" fontId="22" fillId="0" borderId="0" xfId="1" applyNumberFormat="1" applyFont="1" applyFill="1"/>
    <xf numFmtId="0" fontId="21" fillId="0" borderId="4" xfId="0" applyFont="1" applyBorder="1"/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10" fontId="21" fillId="0" borderId="0" xfId="2" applyNumberFormat="1" applyFont="1" applyFill="1" applyAlignment="1">
      <alignment horizontal="center" vertical="center"/>
    </xf>
    <xf numFmtId="10" fontId="21" fillId="0" borderId="0" xfId="2" applyNumberFormat="1" applyFont="1" applyFill="1" applyBorder="1" applyAlignment="1">
      <alignment horizontal="center" vertical="center"/>
    </xf>
    <xf numFmtId="10" fontId="22" fillId="0" borderId="0" xfId="2" applyNumberFormat="1" applyFont="1" applyAlignment="1">
      <alignment horizontal="right" vertical="center"/>
    </xf>
    <xf numFmtId="10" fontId="22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right"/>
    </xf>
    <xf numFmtId="10" fontId="21" fillId="0" borderId="0" xfId="2" applyNumberFormat="1" applyFont="1" applyFill="1" applyAlignment="1">
      <alignment horizontal="center"/>
    </xf>
    <xf numFmtId="10" fontId="21" fillId="0" borderId="0" xfId="2" applyNumberFormat="1" applyFont="1" applyFill="1"/>
    <xf numFmtId="0" fontId="19" fillId="2" borderId="19" xfId="0" applyFont="1" applyFill="1" applyBorder="1" applyAlignment="1">
      <alignment horizontal="center"/>
    </xf>
    <xf numFmtId="0" fontId="19" fillId="2" borderId="21" xfId="0" applyFont="1" applyFill="1" applyBorder="1" applyAlignment="1">
      <alignment horizontal="center"/>
    </xf>
    <xf numFmtId="2" fontId="38" fillId="0" borderId="0" xfId="0" applyNumberFormat="1" applyFont="1" applyAlignment="1">
      <alignment horizontal="center"/>
    </xf>
    <xf numFmtId="164" fontId="38" fillId="0" borderId="0" xfId="1" applyNumberFormat="1" applyFont="1" applyAlignment="1"/>
    <xf numFmtId="2" fontId="22" fillId="0" borderId="0" xfId="0" applyNumberFormat="1" applyFont="1" applyAlignment="1">
      <alignment horizontal="center"/>
    </xf>
    <xf numFmtId="0" fontId="34" fillId="0" borderId="0" xfId="0" applyFont="1"/>
    <xf numFmtId="43" fontId="24" fillId="0" borderId="0" xfId="1" applyFont="1" applyFill="1"/>
    <xf numFmtId="2" fontId="38" fillId="0" borderId="4" xfId="0" applyNumberFormat="1" applyFont="1" applyBorder="1" applyAlignment="1">
      <alignment horizontal="center"/>
    </xf>
    <xf numFmtId="10" fontId="22" fillId="0" borderId="0" xfId="2" applyNumberFormat="1" applyFont="1" applyFill="1" applyAlignment="1">
      <alignment horizontal="center"/>
    </xf>
    <xf numFmtId="0" fontId="19" fillId="0" borderId="2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24" fillId="0" borderId="0" xfId="0" applyFont="1" applyAlignment="1">
      <alignment horizontal="center" vertical="center"/>
    </xf>
    <xf numFmtId="0" fontId="19" fillId="0" borderId="4" xfId="0" applyFont="1" applyBorder="1"/>
    <xf numFmtId="2" fontId="22" fillId="0" borderId="0" xfId="0" applyNumberFormat="1" applyFont="1" applyAlignment="1">
      <alignment horizontal="right" vertical="center"/>
    </xf>
    <xf numFmtId="2" fontId="21" fillId="0" borderId="0" xfId="0" applyNumberFormat="1" applyFont="1" applyAlignment="1">
      <alignment horizontal="right"/>
    </xf>
    <xf numFmtId="10" fontId="21" fillId="0" borderId="0" xfId="0" applyNumberFormat="1" applyFont="1"/>
    <xf numFmtId="0" fontId="39" fillId="0" borderId="0" xfId="0" applyFont="1" applyAlignment="1">
      <alignment horizontal="center"/>
    </xf>
    <xf numFmtId="0" fontId="40" fillId="0" borderId="0" xfId="0" applyFont="1"/>
    <xf numFmtId="0" fontId="41" fillId="0" borderId="16" xfId="0" applyFont="1" applyBorder="1" applyAlignment="1">
      <alignment horizontal="center"/>
    </xf>
    <xf numFmtId="0" fontId="36" fillId="0" borderId="0" xfId="0" applyFont="1" applyAlignment="1">
      <alignment horizontal="right"/>
    </xf>
    <xf numFmtId="0" fontId="28" fillId="0" borderId="0" xfId="0" applyFont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10" fontId="21" fillId="0" borderId="0" xfId="2" applyNumberFormat="1" applyFont="1"/>
    <xf numFmtId="10" fontId="21" fillId="0" borderId="0" xfId="1" applyNumberFormat="1" applyFont="1" applyFill="1"/>
    <xf numFmtId="10" fontId="43" fillId="0" borderId="0" xfId="2" applyNumberFormat="1" applyFont="1" applyFill="1" applyAlignment="1">
      <alignment horizontal="center"/>
    </xf>
    <xf numFmtId="164" fontId="21" fillId="0" borderId="0" xfId="1" applyNumberFormat="1" applyFont="1"/>
    <xf numFmtId="0" fontId="19" fillId="0" borderId="0" xfId="0" applyFont="1" applyAlignment="1">
      <alignment horizontal="left"/>
    </xf>
    <xf numFmtId="0" fontId="21" fillId="0" borderId="2" xfId="0" applyFont="1" applyBorder="1"/>
    <xf numFmtId="0" fontId="34" fillId="0" borderId="7" xfId="0" applyFont="1" applyBorder="1" applyAlignment="1">
      <alignment horizontal="center"/>
    </xf>
    <xf numFmtId="0" fontId="34" fillId="0" borderId="9" xfId="0" applyFont="1" applyBorder="1" applyAlignment="1">
      <alignment horizontal="center"/>
    </xf>
    <xf numFmtId="0" fontId="34" fillId="0" borderId="0" xfId="0" applyFont="1" applyAlignment="1">
      <alignment horizontal="center"/>
    </xf>
    <xf numFmtId="15" fontId="34" fillId="0" borderId="9" xfId="0" applyNumberFormat="1" applyFont="1" applyBorder="1" applyAlignment="1">
      <alignment horizontal="center"/>
    </xf>
    <xf numFmtId="15" fontId="34" fillId="0" borderId="0" xfId="0" quotePrefix="1" applyNumberFormat="1" applyFont="1" applyAlignment="1">
      <alignment horizontal="center"/>
    </xf>
    <xf numFmtId="0" fontId="22" fillId="0" borderId="9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34" fillId="0" borderId="8" xfId="0" applyFont="1" applyBorder="1" applyAlignment="1">
      <alignment horizontal="center"/>
    </xf>
    <xf numFmtId="0" fontId="34" fillId="0" borderId="3" xfId="0" applyFont="1" applyBorder="1" applyAlignment="1">
      <alignment horizontal="center"/>
    </xf>
    <xf numFmtId="0" fontId="34" fillId="0" borderId="2" xfId="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4" fillId="0" borderId="9" xfId="0" applyFont="1" applyBorder="1"/>
    <xf numFmtId="0" fontId="34" fillId="0" borderId="7" xfId="0" applyFont="1" applyBorder="1"/>
    <xf numFmtId="0" fontId="38" fillId="0" borderId="0" xfId="0" applyFont="1" applyAlignment="1">
      <alignment horizontal="center"/>
    </xf>
    <xf numFmtId="2" fontId="38" fillId="0" borderId="9" xfId="0" applyNumberFormat="1" applyFont="1" applyBorder="1" applyAlignment="1">
      <alignment horizontal="center"/>
    </xf>
    <xf numFmtId="3" fontId="38" fillId="0" borderId="0" xfId="0" applyNumberFormat="1" applyFont="1"/>
    <xf numFmtId="0" fontId="37" fillId="0" borderId="0" xfId="0" applyFont="1"/>
    <xf numFmtId="0" fontId="37" fillId="0" borderId="2" xfId="0" applyFont="1" applyBorder="1"/>
    <xf numFmtId="0" fontId="37" fillId="0" borderId="5" xfId="0" applyFont="1" applyBorder="1"/>
    <xf numFmtId="0" fontId="37" fillId="0" borderId="6" xfId="0" applyFont="1" applyBorder="1"/>
    <xf numFmtId="0" fontId="19" fillId="0" borderId="6" xfId="0" applyFont="1" applyBorder="1"/>
    <xf numFmtId="0" fontId="34" fillId="0" borderId="13" xfId="0" applyFont="1" applyBorder="1" applyAlignment="1">
      <alignment horizontal="center"/>
    </xf>
    <xf numFmtId="0" fontId="35" fillId="0" borderId="14" xfId="0" applyFont="1" applyBorder="1" applyAlignment="1">
      <alignment horizontal="center"/>
    </xf>
    <xf numFmtId="164" fontId="38" fillId="0" borderId="0" xfId="1" applyNumberFormat="1" applyFont="1" applyFill="1" applyBorder="1"/>
    <xf numFmtId="0" fontId="37" fillId="0" borderId="8" xfId="0" applyFont="1" applyBorder="1"/>
    <xf numFmtId="0" fontId="37" fillId="0" borderId="13" xfId="0" applyFont="1" applyBorder="1"/>
    <xf numFmtId="0" fontId="34" fillId="0" borderId="0" xfId="0" applyFont="1" applyAlignment="1">
      <alignment horizontal="right"/>
    </xf>
    <xf numFmtId="164" fontId="21" fillId="0" borderId="0" xfId="0" applyNumberFormat="1" applyFont="1"/>
    <xf numFmtId="10" fontId="34" fillId="0" borderId="0" xfId="0" applyNumberFormat="1" applyFont="1" applyAlignment="1">
      <alignment horizontal="right"/>
    </xf>
    <xf numFmtId="10" fontId="34" fillId="0" borderId="0" xfId="2" applyNumberFormat="1" applyFont="1" applyFill="1"/>
    <xf numFmtId="10" fontId="34" fillId="0" borderId="0" xfId="2" applyNumberFormat="1" applyFont="1"/>
    <xf numFmtId="2" fontId="19" fillId="0" borderId="0" xfId="0" applyNumberFormat="1" applyFont="1"/>
    <xf numFmtId="0" fontId="28" fillId="0" borderId="0" xfId="0" applyFont="1" applyAlignment="1">
      <alignment horizontal="right"/>
    </xf>
    <xf numFmtId="0" fontId="22" fillId="0" borderId="0" xfId="0" applyFont="1"/>
    <xf numFmtId="0" fontId="20" fillId="0" borderId="0" xfId="0" applyFont="1"/>
    <xf numFmtId="0" fontId="20" fillId="0" borderId="0" xfId="0" applyFont="1" applyAlignment="1">
      <alignment horizontal="left"/>
    </xf>
    <xf numFmtId="165" fontId="21" fillId="0" borderId="0" xfId="3" applyNumberFormat="1" applyFont="1" applyFill="1" applyAlignment="1">
      <alignment horizontal="center"/>
    </xf>
    <xf numFmtId="164" fontId="22" fillId="0" borderId="0" xfId="1" applyNumberFormat="1" applyFont="1" applyFill="1"/>
    <xf numFmtId="10" fontId="22" fillId="0" borderId="0" xfId="2" applyNumberFormat="1" applyFont="1" applyFill="1"/>
    <xf numFmtId="0" fontId="28" fillId="0" borderId="2" xfId="0" applyFont="1" applyBorder="1" applyAlignment="1">
      <alignment horizontal="center"/>
    </xf>
    <xf numFmtId="10" fontId="38" fillId="0" borderId="0" xfId="2" applyNumberFormat="1" applyFont="1" applyFill="1" applyAlignment="1">
      <alignment horizontal="center"/>
    </xf>
    <xf numFmtId="10" fontId="38" fillId="0" borderId="0" xfId="2" applyNumberFormat="1" applyFont="1" applyFill="1"/>
    <xf numFmtId="2" fontId="34" fillId="0" borderId="2" xfId="0" applyNumberFormat="1" applyFont="1" applyBorder="1" applyAlignment="1">
      <alignment horizontal="center"/>
    </xf>
    <xf numFmtId="10" fontId="34" fillId="0" borderId="2" xfId="2" applyNumberFormat="1" applyFont="1" applyBorder="1"/>
    <xf numFmtId="10" fontId="34" fillId="0" borderId="0" xfId="0" applyNumberFormat="1" applyFont="1" applyAlignment="1">
      <alignment horizontal="center"/>
    </xf>
    <xf numFmtId="2" fontId="34" fillId="0" borderId="0" xfId="0" applyNumberFormat="1" applyFont="1" applyAlignment="1">
      <alignment horizontal="center"/>
    </xf>
    <xf numFmtId="0" fontId="38" fillId="0" borderId="0" xfId="0" applyFont="1"/>
    <xf numFmtId="0" fontId="34" fillId="0" borderId="0" xfId="0" applyFont="1" applyAlignment="1">
      <alignment horizontal="left"/>
    </xf>
    <xf numFmtId="10" fontId="19" fillId="0" borderId="0" xfId="0" applyNumberFormat="1" applyFont="1"/>
    <xf numFmtId="0" fontId="18" fillId="0" borderId="0" xfId="6"/>
    <xf numFmtId="0" fontId="47" fillId="0" borderId="2" xfId="0" applyFont="1" applyBorder="1"/>
    <xf numFmtId="0" fontId="0" fillId="0" borderId="2" xfId="0" applyBorder="1"/>
    <xf numFmtId="0" fontId="28" fillId="0" borderId="2" xfId="0" applyFont="1" applyBorder="1"/>
    <xf numFmtId="0" fontId="19" fillId="0" borderId="5" xfId="0" applyFont="1" applyBorder="1"/>
    <xf numFmtId="0" fontId="19" fillId="0" borderId="11" xfId="0" applyFont="1" applyBorder="1"/>
    <xf numFmtId="0" fontId="21" fillId="0" borderId="8" xfId="0" applyFont="1" applyBorder="1" applyAlignment="1">
      <alignment horizontal="center" vertical="center"/>
    </xf>
    <xf numFmtId="0" fontId="28" fillId="0" borderId="33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 wrapText="1"/>
    </xf>
    <xf numFmtId="0" fontId="28" fillId="0" borderId="31" xfId="0" applyFont="1" applyBorder="1" applyAlignment="1">
      <alignment horizontal="center" vertical="center"/>
    </xf>
    <xf numFmtId="0" fontId="34" fillId="0" borderId="15" xfId="0" applyFont="1" applyBorder="1" applyAlignment="1">
      <alignment horizontal="center" vertical="center"/>
    </xf>
    <xf numFmtId="0" fontId="48" fillId="0" borderId="0" xfId="0" applyFont="1"/>
    <xf numFmtId="0" fontId="28" fillId="0" borderId="7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0" fontId="47" fillId="0" borderId="32" xfId="0" applyFont="1" applyBorder="1"/>
    <xf numFmtId="0" fontId="34" fillId="0" borderId="30" xfId="0" applyFont="1" applyBorder="1"/>
    <xf numFmtId="0" fontId="34" fillId="0" borderId="19" xfId="0" applyFont="1" applyBorder="1"/>
    <xf numFmtId="0" fontId="34" fillId="0" borderId="1" xfId="0" applyFont="1" applyBorder="1"/>
    <xf numFmtId="10" fontId="38" fillId="0" borderId="0" xfId="2" applyNumberFormat="1" applyFont="1" applyAlignment="1">
      <alignment horizontal="right" vertical="center"/>
    </xf>
    <xf numFmtId="43" fontId="38" fillId="0" borderId="0" xfId="1" applyFont="1" applyAlignment="1">
      <alignment horizontal="right" vertical="center"/>
    </xf>
    <xf numFmtId="43" fontId="38" fillId="0" borderId="0" xfId="1" applyFont="1" applyFill="1" applyAlignment="1">
      <alignment horizontal="right" vertical="center"/>
    </xf>
    <xf numFmtId="10" fontId="34" fillId="0" borderId="0" xfId="2" applyNumberFormat="1" applyFont="1" applyFill="1" applyAlignment="1">
      <alignment horizontal="right"/>
    </xf>
    <xf numFmtId="43" fontId="34" fillId="0" borderId="0" xfId="1" applyFont="1" applyFill="1" applyAlignment="1">
      <alignment horizontal="right"/>
    </xf>
    <xf numFmtId="43" fontId="34" fillId="0" borderId="0" xfId="1" applyFont="1" applyFill="1"/>
    <xf numFmtId="0" fontId="34" fillId="0" borderId="0" xfId="0" applyFont="1" applyAlignment="1">
      <alignment horizontal="center" vertical="center"/>
    </xf>
    <xf numFmtId="44" fontId="38" fillId="0" borderId="0" xfId="3" applyFont="1" applyAlignment="1">
      <alignment horizontal="center"/>
    </xf>
    <xf numFmtId="0" fontId="21" fillId="0" borderId="0" xfId="0" applyFont="1" applyAlignment="1">
      <alignment horizontal="right" vertical="center"/>
    </xf>
    <xf numFmtId="0" fontId="44" fillId="0" borderId="0" xfId="0" applyFont="1"/>
    <xf numFmtId="0" fontId="0" fillId="0" borderId="33" xfId="0" applyBorder="1"/>
    <xf numFmtId="0" fontId="19" fillId="0" borderId="31" xfId="0" applyFont="1" applyBorder="1"/>
    <xf numFmtId="0" fontId="24" fillId="0" borderId="33" xfId="0" applyFont="1" applyBorder="1" applyAlignment="1">
      <alignment horizontal="right"/>
    </xf>
    <xf numFmtId="0" fontId="23" fillId="0" borderId="31" xfId="0" applyFont="1" applyBorder="1"/>
    <xf numFmtId="0" fontId="23" fillId="0" borderId="33" xfId="0" applyFont="1" applyBorder="1" applyAlignment="1">
      <alignment horizontal="right"/>
    </xf>
    <xf numFmtId="0" fontId="23" fillId="0" borderId="33" xfId="0" applyFont="1" applyBorder="1"/>
    <xf numFmtId="0" fontId="19" fillId="0" borderId="33" xfId="0" applyFont="1" applyBorder="1"/>
    <xf numFmtId="0" fontId="34" fillId="0" borderId="7" xfId="0" applyFont="1" applyBorder="1" applyAlignment="1">
      <alignment horizontal="center" vertical="center"/>
    </xf>
    <xf numFmtId="10" fontId="34" fillId="0" borderId="0" xfId="2" applyNumberFormat="1" applyFont="1" applyBorder="1" applyAlignment="1">
      <alignment horizontal="center" vertical="center"/>
    </xf>
    <xf numFmtId="10" fontId="34" fillId="0" borderId="12" xfId="2" applyNumberFormat="1" applyFont="1" applyBorder="1" applyAlignment="1">
      <alignment horizontal="center" vertical="center"/>
    </xf>
    <xf numFmtId="0" fontId="37" fillId="0" borderId="7" xfId="0" applyFont="1" applyBorder="1"/>
    <xf numFmtId="0" fontId="37" fillId="0" borderId="12" xfId="0" applyFont="1" applyBorder="1"/>
    <xf numFmtId="0" fontId="0" fillId="3" borderId="0" xfId="0" applyFill="1"/>
    <xf numFmtId="0" fontId="24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right"/>
    </xf>
    <xf numFmtId="2" fontId="34" fillId="0" borderId="15" xfId="0" applyNumberFormat="1" applyFont="1" applyBorder="1" applyAlignment="1">
      <alignment horizontal="center"/>
    </xf>
    <xf numFmtId="43" fontId="34" fillId="0" borderId="0" xfId="1" applyFont="1" applyBorder="1" applyAlignment="1">
      <alignment horizontal="center" vertical="center"/>
    </xf>
    <xf numFmtId="43" fontId="34" fillId="0" borderId="0" xfId="1" applyFont="1" applyBorder="1" applyAlignment="1">
      <alignment vertical="center"/>
    </xf>
    <xf numFmtId="10" fontId="34" fillId="0" borderId="0" xfId="2" applyNumberFormat="1" applyFont="1" applyBorder="1" applyAlignment="1">
      <alignment vertical="center"/>
    </xf>
    <xf numFmtId="10" fontId="0" fillId="0" borderId="0" xfId="2" applyNumberFormat="1" applyFont="1"/>
    <xf numFmtId="10" fontId="34" fillId="0" borderId="0" xfId="2" applyNumberFormat="1" applyFont="1" applyFill="1" applyBorder="1" applyAlignment="1">
      <alignment horizontal="center" vertical="center"/>
    </xf>
    <xf numFmtId="0" fontId="34" fillId="0" borderId="29" xfId="0" applyFont="1" applyBorder="1"/>
    <xf numFmtId="0" fontId="34" fillId="0" borderId="20" xfId="0" applyFont="1" applyBorder="1"/>
    <xf numFmtId="0" fontId="34" fillId="0" borderId="22" xfId="0" applyFont="1" applyBorder="1"/>
    <xf numFmtId="0" fontId="19" fillId="0" borderId="23" xfId="0" applyFont="1" applyBorder="1"/>
    <xf numFmtId="10" fontId="28" fillId="0" borderId="3" xfId="2" applyNumberFormat="1" applyFont="1" applyBorder="1" applyAlignment="1">
      <alignment horizontal="center" vertical="center"/>
    </xf>
    <xf numFmtId="164" fontId="21" fillId="0" borderId="0" xfId="1" applyNumberFormat="1" applyFont="1" applyFill="1" applyAlignment="1">
      <alignment horizontal="center"/>
    </xf>
    <xf numFmtId="164" fontId="21" fillId="0" borderId="0" xfId="1" applyNumberFormat="1" applyFont="1" applyFill="1" applyAlignment="1"/>
    <xf numFmtId="2" fontId="24" fillId="0" borderId="15" xfId="0" applyNumberFormat="1" applyFont="1" applyBorder="1" applyAlignment="1">
      <alignment horizontal="center"/>
    </xf>
    <xf numFmtId="10" fontId="24" fillId="0" borderId="15" xfId="2" applyNumberFormat="1" applyFont="1" applyBorder="1" applyAlignment="1">
      <alignment horizontal="center"/>
    </xf>
    <xf numFmtId="2" fontId="24" fillId="0" borderId="15" xfId="0" applyNumberFormat="1" applyFont="1" applyBorder="1" applyAlignment="1">
      <alignment horizontal="center" vertical="center"/>
    </xf>
    <xf numFmtId="10" fontId="24" fillId="0" borderId="15" xfId="2" applyNumberFormat="1" applyFont="1" applyBorder="1" applyAlignment="1">
      <alignment horizontal="center" vertical="center"/>
    </xf>
    <xf numFmtId="0" fontId="28" fillId="0" borderId="8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/>
    </xf>
    <xf numFmtId="0" fontId="21" fillId="0" borderId="2" xfId="0" quotePrefix="1" applyFont="1" applyBorder="1" applyAlignment="1">
      <alignment horizontal="center"/>
    </xf>
    <xf numFmtId="0" fontId="6" fillId="0" borderId="0" xfId="0" applyFont="1"/>
    <xf numFmtId="0" fontId="50" fillId="0" borderId="0" xfId="0" applyFont="1" applyAlignment="1">
      <alignment horizontal="center"/>
    </xf>
    <xf numFmtId="0" fontId="37" fillId="0" borderId="0" xfId="0" applyFont="1" applyAlignment="1">
      <alignment horizontal="left"/>
    </xf>
    <xf numFmtId="0" fontId="49" fillId="0" borderId="0" xfId="0" applyFont="1" applyAlignment="1">
      <alignment horizontal="left"/>
    </xf>
    <xf numFmtId="0" fontId="51" fillId="0" borderId="0" xfId="0" applyFont="1"/>
    <xf numFmtId="0" fontId="37" fillId="0" borderId="0" xfId="0" applyFont="1" applyAlignment="1">
      <alignment horizontal="right"/>
    </xf>
    <xf numFmtId="0" fontId="37" fillId="0" borderId="2" xfId="0" applyFont="1" applyBorder="1" applyAlignment="1">
      <alignment horizontal="center"/>
    </xf>
    <xf numFmtId="0" fontId="49" fillId="0" borderId="0" xfId="0" applyFont="1"/>
    <xf numFmtId="10" fontId="28" fillId="0" borderId="9" xfId="2" applyNumberFormat="1" applyFont="1" applyFill="1" applyBorder="1" applyAlignment="1">
      <alignment horizontal="center" vertical="center"/>
    </xf>
    <xf numFmtId="43" fontId="24" fillId="0" borderId="15" xfId="1" applyFont="1" applyBorder="1" applyAlignment="1">
      <alignment horizontal="center" vertical="center"/>
    </xf>
    <xf numFmtId="167" fontId="38" fillId="0" borderId="15" xfId="1" applyNumberFormat="1" applyFont="1" applyFill="1" applyBorder="1"/>
    <xf numFmtId="15" fontId="34" fillId="0" borderId="23" xfId="0" applyNumberFormat="1" applyFont="1" applyBorder="1" applyAlignment="1">
      <alignment horizontal="center"/>
    </xf>
    <xf numFmtId="15" fontId="34" fillId="0" borderId="11" xfId="0" applyNumberFormat="1" applyFont="1" applyBorder="1" applyAlignment="1">
      <alignment horizontal="center"/>
    </xf>
    <xf numFmtId="15" fontId="34" fillId="0" borderId="12" xfId="0" applyNumberFormat="1" applyFont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48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0" fillId="0" borderId="1" xfId="0" applyBorder="1"/>
    <xf numFmtId="0" fontId="34" fillId="0" borderId="1" xfId="0" applyFont="1" applyBorder="1" applyAlignment="1">
      <alignment horizontal="center"/>
    </xf>
    <xf numFmtId="10" fontId="38" fillId="0" borderId="1" xfId="2" applyNumberFormat="1" applyFont="1" applyFill="1" applyBorder="1" applyAlignment="1">
      <alignment horizontal="center"/>
    </xf>
    <xf numFmtId="43" fontId="38" fillId="0" borderId="1" xfId="1" applyFont="1" applyFill="1" applyBorder="1" applyAlignment="1">
      <alignment horizontal="center"/>
    </xf>
    <xf numFmtId="43" fontId="38" fillId="0" borderId="0" xfId="1" applyFont="1" applyAlignment="1">
      <alignment horizontal="center"/>
    </xf>
    <xf numFmtId="43" fontId="38" fillId="0" borderId="0" xfId="1" applyFont="1" applyFill="1" applyAlignment="1">
      <alignment horizontal="center"/>
    </xf>
    <xf numFmtId="0" fontId="48" fillId="0" borderId="0" xfId="0" applyFont="1" applyAlignment="1">
      <alignment horizontal="right"/>
    </xf>
    <xf numFmtId="43" fontId="48" fillId="0" borderId="0" xfId="0" applyNumberFormat="1" applyFont="1"/>
    <xf numFmtId="2" fontId="48" fillId="0" borderId="0" xfId="0" applyNumberFormat="1" applyFont="1"/>
    <xf numFmtId="0" fontId="34" fillId="0" borderId="5" xfId="0" applyFont="1" applyBorder="1" applyAlignment="1">
      <alignment horizontal="center"/>
    </xf>
    <xf numFmtId="0" fontId="34" fillId="0" borderId="23" xfId="0" applyFont="1" applyBorder="1" applyAlignment="1">
      <alignment horizontal="center"/>
    </xf>
    <xf numFmtId="0" fontId="34" fillId="0" borderId="6" xfId="0" applyFont="1" applyBorder="1" applyAlignment="1">
      <alignment horizontal="center"/>
    </xf>
    <xf numFmtId="164" fontId="38" fillId="0" borderId="9" xfId="1" applyNumberFormat="1" applyFont="1" applyFill="1" applyBorder="1" applyAlignment="1">
      <alignment horizontal="center"/>
    </xf>
    <xf numFmtId="164" fontId="38" fillId="0" borderId="12" xfId="1" applyNumberFormat="1" applyFont="1" applyFill="1" applyBorder="1" applyAlignment="1">
      <alignment horizontal="center"/>
    </xf>
    <xf numFmtId="0" fontId="22" fillId="0" borderId="0" xfId="0" applyFont="1" applyAlignment="1">
      <alignment horizontal="center"/>
    </xf>
    <xf numFmtId="10" fontId="38" fillId="0" borderId="0" xfId="2" applyNumberFormat="1" applyFont="1" applyFill="1" applyBorder="1" applyAlignment="1">
      <alignment horizontal="center"/>
    </xf>
    <xf numFmtId="10" fontId="38" fillId="0" borderId="0" xfId="2" applyNumberFormat="1" applyFont="1" applyBorder="1" applyAlignment="1">
      <alignment horizontal="center" vertical="center"/>
    </xf>
    <xf numFmtId="10" fontId="28" fillId="0" borderId="3" xfId="2" applyNumberFormat="1" applyFont="1" applyFill="1" applyBorder="1" applyAlignment="1">
      <alignment horizontal="center" vertical="center"/>
    </xf>
    <xf numFmtId="0" fontId="28" fillId="0" borderId="31" xfId="0" applyFont="1" applyBorder="1"/>
    <xf numFmtId="0" fontId="19" fillId="0" borderId="32" xfId="0" applyFont="1" applyBorder="1"/>
    <xf numFmtId="0" fontId="34" fillId="0" borderId="31" xfId="0" applyFont="1" applyBorder="1"/>
    <xf numFmtId="0" fontId="34" fillId="0" borderId="33" xfId="0" applyFont="1" applyBorder="1"/>
    <xf numFmtId="15" fontId="34" fillId="0" borderId="6" xfId="0" applyNumberFormat="1" applyFont="1" applyBorder="1" applyAlignment="1">
      <alignment horizontal="center"/>
    </xf>
    <xf numFmtId="15" fontId="34" fillId="0" borderId="0" xfId="0" applyNumberFormat="1" applyFont="1" applyAlignment="1">
      <alignment horizontal="center"/>
    </xf>
    <xf numFmtId="0" fontId="54" fillId="0" borderId="0" xfId="0" applyFont="1"/>
    <xf numFmtId="0" fontId="34" fillId="0" borderId="11" xfId="0" applyFont="1" applyBorder="1" applyAlignment="1">
      <alignment horizontal="center"/>
    </xf>
    <xf numFmtId="0" fontId="35" fillId="0" borderId="34" xfId="0" applyFont="1" applyBorder="1" applyAlignment="1">
      <alignment horizontal="center"/>
    </xf>
    <xf numFmtId="10" fontId="36" fillId="0" borderId="0" xfId="2" applyNumberFormat="1" applyFont="1" applyFill="1" applyBorder="1"/>
    <xf numFmtId="0" fontId="38" fillId="2" borderId="19" xfId="0" applyFont="1" applyFill="1" applyBorder="1"/>
    <xf numFmtId="0" fontId="55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center"/>
    </xf>
    <xf numFmtId="0" fontId="28" fillId="0" borderId="27" xfId="0" applyFont="1" applyBorder="1" applyAlignment="1">
      <alignment horizontal="center"/>
    </xf>
    <xf numFmtId="0" fontId="37" fillId="2" borderId="25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/>
    </xf>
    <xf numFmtId="0" fontId="37" fillId="2" borderId="26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43" fontId="24" fillId="0" borderId="0" xfId="1" applyFont="1" applyFill="1" applyBorder="1" applyAlignment="1">
      <alignment horizontal="center" vertical="center"/>
    </xf>
    <xf numFmtId="0" fontId="19" fillId="2" borderId="28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/>
    </xf>
    <xf numFmtId="0" fontId="19" fillId="2" borderId="20" xfId="0" applyFont="1" applyFill="1" applyBorder="1" applyAlignment="1">
      <alignment horizontal="center"/>
    </xf>
    <xf numFmtId="0" fontId="19" fillId="2" borderId="22" xfId="0" applyFont="1" applyFill="1" applyBorder="1" applyAlignment="1">
      <alignment horizontal="center"/>
    </xf>
    <xf numFmtId="0" fontId="37" fillId="2" borderId="24" xfId="0" applyFont="1" applyFill="1" applyBorder="1" applyAlignment="1">
      <alignment horizontal="center"/>
    </xf>
    <xf numFmtId="1" fontId="22" fillId="0" borderId="0" xfId="0" applyNumberFormat="1" applyFont="1" applyAlignment="1">
      <alignment horizontal="center"/>
    </xf>
    <xf numFmtId="164" fontId="22" fillId="0" borderId="0" xfId="1" applyNumberFormat="1" applyFont="1" applyFill="1" applyAlignment="1">
      <alignment horizontal="center"/>
    </xf>
    <xf numFmtId="164" fontId="22" fillId="0" borderId="1" xfId="1" applyNumberFormat="1" applyFont="1" applyFill="1" applyBorder="1" applyAlignment="1">
      <alignment horizontal="center"/>
    </xf>
    <xf numFmtId="0" fontId="40" fillId="0" borderId="13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35" fillId="0" borderId="35" xfId="0" applyFont="1" applyBorder="1" applyAlignment="1">
      <alignment horizontal="center"/>
    </xf>
    <xf numFmtId="0" fontId="35" fillId="0" borderId="16" xfId="0" applyFont="1" applyBorder="1" applyAlignment="1">
      <alignment horizontal="center"/>
    </xf>
    <xf numFmtId="0" fontId="0" fillId="0" borderId="8" xfId="0" applyBorder="1"/>
    <xf numFmtId="0" fontId="0" fillId="0" borderId="13" xfId="0" applyBorder="1"/>
    <xf numFmtId="0" fontId="34" fillId="0" borderId="15" xfId="0" applyFont="1" applyBorder="1" applyAlignment="1">
      <alignment horizontal="right"/>
    </xf>
    <xf numFmtId="0" fontId="34" fillId="0" borderId="8" xfId="0" applyFont="1" applyBorder="1"/>
    <xf numFmtId="164" fontId="38" fillId="0" borderId="3" xfId="1" applyNumberFormat="1" applyFont="1" applyFill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0" fontId="35" fillId="0" borderId="36" xfId="0" applyFont="1" applyBorder="1" applyAlignment="1">
      <alignment horizontal="center"/>
    </xf>
    <xf numFmtId="164" fontId="0" fillId="0" borderId="0" xfId="1" applyNumberFormat="1" applyFont="1"/>
    <xf numFmtId="164" fontId="21" fillId="0" borderId="0" xfId="0" applyNumberFormat="1" applyFont="1" applyAlignment="1">
      <alignment horizontal="right"/>
    </xf>
    <xf numFmtId="10" fontId="38" fillId="0" borderId="15" xfId="2" applyNumberFormat="1" applyFont="1" applyFill="1" applyBorder="1"/>
    <xf numFmtId="43" fontId="24" fillId="0" borderId="15" xfId="1" applyFont="1" applyFill="1" applyBorder="1" applyAlignment="1">
      <alignment horizontal="center" vertical="center"/>
    </xf>
    <xf numFmtId="0" fontId="0" fillId="0" borderId="6" xfId="0" applyBorder="1"/>
    <xf numFmtId="10" fontId="22" fillId="0" borderId="0" xfId="2" applyNumberFormat="1" applyFont="1" applyFill="1" applyAlignment="1">
      <alignment horizontal="center" vertical="center"/>
    </xf>
    <xf numFmtId="10" fontId="22" fillId="0" borderId="1" xfId="2" applyNumberFormat="1" applyFont="1" applyFill="1" applyBorder="1" applyAlignment="1">
      <alignment horizontal="center" vertical="center"/>
    </xf>
    <xf numFmtId="10" fontId="22" fillId="0" borderId="0" xfId="2" applyNumberFormat="1" applyFont="1" applyFill="1" applyAlignment="1">
      <alignment horizontal="right" vertical="center"/>
    </xf>
    <xf numFmtId="0" fontId="36" fillId="0" borderId="17" xfId="0" applyFont="1" applyBorder="1"/>
    <xf numFmtId="10" fontId="36" fillId="0" borderId="27" xfId="2" applyNumberFormat="1" applyFont="1" applyFill="1" applyBorder="1"/>
    <xf numFmtId="43" fontId="36" fillId="0" borderId="27" xfId="1" applyFont="1" applyFill="1" applyBorder="1"/>
    <xf numFmtId="0" fontId="36" fillId="0" borderId="27" xfId="0" applyFont="1" applyBorder="1"/>
    <xf numFmtId="2" fontId="36" fillId="0" borderId="27" xfId="0" applyNumberFormat="1" applyFont="1" applyBorder="1"/>
    <xf numFmtId="10" fontId="21" fillId="0" borderId="0" xfId="2" applyNumberFormat="1" applyFont="1" applyFill="1" applyAlignment="1">
      <alignment horizontal="right" vertical="center"/>
    </xf>
    <xf numFmtId="10" fontId="21" fillId="0" borderId="0" xfId="2" applyNumberFormat="1" applyFont="1" applyFill="1" applyBorder="1" applyAlignment="1">
      <alignment horizontal="right" vertical="center"/>
    </xf>
    <xf numFmtId="10" fontId="23" fillId="0" borderId="15" xfId="2" applyNumberFormat="1" applyFont="1" applyFill="1" applyBorder="1"/>
    <xf numFmtId="44" fontId="22" fillId="0" borderId="0" xfId="3" applyFont="1" applyFill="1" applyAlignment="1">
      <alignment horizontal="center"/>
    </xf>
    <xf numFmtId="10" fontId="23" fillId="0" borderId="15" xfId="2" applyNumberFormat="1" applyFont="1" applyFill="1" applyBorder="1" applyAlignment="1">
      <alignment horizontal="center"/>
    </xf>
    <xf numFmtId="0" fontId="57" fillId="0" borderId="0" xfId="0" applyFont="1"/>
    <xf numFmtId="0" fontId="19" fillId="0" borderId="22" xfId="0" applyFont="1" applyBorder="1"/>
    <xf numFmtId="0" fontId="0" fillId="0" borderId="32" xfId="0" applyBorder="1"/>
    <xf numFmtId="10" fontId="22" fillId="0" borderId="0" xfId="2" applyNumberFormat="1" applyFont="1" applyAlignment="1">
      <alignment horizontal="right"/>
    </xf>
    <xf numFmtId="0" fontId="15" fillId="0" borderId="0" xfId="0" applyFont="1" applyAlignment="1">
      <alignment horizontal="center"/>
    </xf>
    <xf numFmtId="3" fontId="38" fillId="0" borderId="3" xfId="0" applyNumberFormat="1" applyFont="1" applyBorder="1"/>
    <xf numFmtId="3" fontId="38" fillId="0" borderId="9" xfId="0" applyNumberFormat="1" applyFont="1" applyBorder="1"/>
    <xf numFmtId="164" fontId="22" fillId="0" borderId="0" xfId="1" applyNumberFormat="1" applyFont="1" applyFill="1" applyAlignment="1"/>
    <xf numFmtId="164" fontId="22" fillId="0" borderId="1" xfId="1" applyNumberFormat="1" applyFont="1" applyFill="1" applyBorder="1" applyAlignment="1"/>
    <xf numFmtId="43" fontId="22" fillId="0" borderId="1" xfId="1" applyFont="1" applyFill="1" applyBorder="1" applyAlignment="1">
      <alignment horizontal="right" vertical="center"/>
    </xf>
    <xf numFmtId="10" fontId="22" fillId="0" borderId="1" xfId="2" applyNumberFormat="1" applyFont="1" applyFill="1" applyBorder="1" applyAlignment="1">
      <alignment horizontal="right" vertical="center"/>
    </xf>
    <xf numFmtId="43" fontId="38" fillId="0" borderId="1" xfId="1" applyFont="1" applyBorder="1" applyAlignment="1">
      <alignment horizontal="right" vertical="center"/>
    </xf>
    <xf numFmtId="43" fontId="38" fillId="0" borderId="1" xfId="1" applyFont="1" applyFill="1" applyBorder="1" applyAlignment="1">
      <alignment horizontal="right" vertical="center"/>
    </xf>
    <xf numFmtId="0" fontId="21" fillId="0" borderId="1" xfId="0" applyFont="1" applyBorder="1" applyAlignment="1">
      <alignment horizontal="right"/>
    </xf>
    <xf numFmtId="10" fontId="22" fillId="0" borderId="1" xfId="2" applyNumberFormat="1" applyFont="1" applyBorder="1" applyAlignment="1">
      <alignment horizontal="right" vertical="center"/>
    </xf>
    <xf numFmtId="0" fontId="34" fillId="0" borderId="1" xfId="0" applyFont="1" applyBorder="1" applyAlignment="1">
      <alignment horizontal="right"/>
    </xf>
    <xf numFmtId="2" fontId="22" fillId="0" borderId="1" xfId="0" applyNumberFormat="1" applyFont="1" applyBorder="1" applyAlignment="1">
      <alignment horizontal="right" vertical="center"/>
    </xf>
    <xf numFmtId="10" fontId="28" fillId="0" borderId="0" xfId="2" applyNumberFormat="1" applyFont="1" applyFill="1" applyBorder="1" applyAlignment="1">
      <alignment horizontal="center" vertical="center"/>
    </xf>
    <xf numFmtId="10" fontId="28" fillId="0" borderId="2" xfId="2" applyNumberFormat="1" applyFont="1" applyBorder="1" applyAlignment="1">
      <alignment horizontal="center" vertical="center"/>
    </xf>
    <xf numFmtId="0" fontId="19" fillId="0" borderId="20" xfId="0" applyFont="1" applyBorder="1"/>
    <xf numFmtId="0" fontId="38" fillId="0" borderId="7" xfId="0" applyFont="1" applyBorder="1"/>
    <xf numFmtId="0" fontId="38" fillId="0" borderId="8" xfId="0" applyFont="1" applyBorder="1"/>
    <xf numFmtId="0" fontId="22" fillId="0" borderId="3" xfId="0" applyFont="1" applyBorder="1" applyAlignment="1">
      <alignment horizontal="center"/>
    </xf>
    <xf numFmtId="3" fontId="38" fillId="0" borderId="2" xfId="0" applyNumberFormat="1" applyFont="1" applyBorder="1"/>
    <xf numFmtId="0" fontId="20" fillId="0" borderId="19" xfId="0" applyFont="1" applyBorder="1"/>
    <xf numFmtId="0" fontId="34" fillId="0" borderId="37" xfId="0" applyFont="1" applyBorder="1" applyAlignment="1">
      <alignment horizontal="center"/>
    </xf>
    <xf numFmtId="10" fontId="22" fillId="0" borderId="4" xfId="2" applyNumberFormat="1" applyFont="1" applyFill="1" applyBorder="1" applyAlignment="1">
      <alignment horizontal="center"/>
    </xf>
    <xf numFmtId="2" fontId="38" fillId="0" borderId="3" xfId="0" applyNumberFormat="1" applyFont="1" applyBorder="1" applyAlignment="1">
      <alignment horizontal="center"/>
    </xf>
    <xf numFmtId="164" fontId="38" fillId="0" borderId="13" xfId="1" applyNumberFormat="1" applyFont="1" applyFill="1" applyBorder="1" applyAlignment="1">
      <alignment horizontal="center"/>
    </xf>
    <xf numFmtId="0" fontId="60" fillId="0" borderId="3" xfId="0" applyFont="1" applyBorder="1" applyAlignment="1">
      <alignment horizontal="center"/>
    </xf>
    <xf numFmtId="10" fontId="34" fillId="0" borderId="1" xfId="2" applyNumberFormat="1" applyFont="1" applyFill="1" applyBorder="1"/>
    <xf numFmtId="2" fontId="22" fillId="0" borderId="0" xfId="0" applyNumberFormat="1" applyFont="1" applyAlignment="1">
      <alignment horizontal="right"/>
    </xf>
    <xf numFmtId="0" fontId="19" fillId="0" borderId="4" xfId="0" applyFont="1" applyBorder="1" applyAlignment="1">
      <alignment horizontal="right"/>
    </xf>
    <xf numFmtId="0" fontId="28" fillId="0" borderId="3" xfId="0" applyFont="1" applyBorder="1" applyAlignment="1">
      <alignment horizontal="center"/>
    </xf>
    <xf numFmtId="0" fontId="34" fillId="4" borderId="38" xfId="0" applyFont="1" applyFill="1" applyBorder="1"/>
    <xf numFmtId="10" fontId="38" fillId="4" borderId="38" xfId="2" applyNumberFormat="1" applyFont="1" applyFill="1" applyBorder="1" applyAlignment="1">
      <alignment horizontal="center"/>
    </xf>
    <xf numFmtId="0" fontId="19" fillId="0" borderId="19" xfId="0" applyFont="1" applyBorder="1"/>
    <xf numFmtId="0" fontId="34" fillId="4" borderId="19" xfId="0" applyFont="1" applyFill="1" applyBorder="1"/>
    <xf numFmtId="10" fontId="38" fillId="4" borderId="19" xfId="2" applyNumberFormat="1" applyFont="1" applyFill="1" applyBorder="1" applyAlignment="1">
      <alignment horizontal="center"/>
    </xf>
    <xf numFmtId="0" fontId="38" fillId="4" borderId="19" xfId="0" applyFont="1" applyFill="1" applyBorder="1"/>
    <xf numFmtId="10" fontId="19" fillId="0" borderId="19" xfId="2" applyNumberFormat="1" applyFont="1" applyFill="1" applyBorder="1"/>
    <xf numFmtId="10" fontId="19" fillId="0" borderId="19" xfId="0" applyNumberFormat="1" applyFont="1" applyBorder="1"/>
    <xf numFmtId="0" fontId="38" fillId="2" borderId="21" xfId="0" applyFont="1" applyFill="1" applyBorder="1"/>
    <xf numFmtId="10" fontId="38" fillId="2" borderId="26" xfId="2" applyNumberFormat="1" applyFont="1" applyFill="1" applyBorder="1" applyAlignment="1">
      <alignment horizontal="center"/>
    </xf>
    <xf numFmtId="0" fontId="38" fillId="0" borderId="17" xfId="0" applyFont="1" applyBorder="1"/>
    <xf numFmtId="10" fontId="38" fillId="0" borderId="27" xfId="2" applyNumberFormat="1" applyFont="1" applyFill="1" applyBorder="1" applyAlignment="1">
      <alignment horizontal="center"/>
    </xf>
    <xf numFmtId="2" fontId="38" fillId="0" borderId="0" xfId="0" applyNumberFormat="1" applyFont="1" applyAlignment="1">
      <alignment horizontal="right"/>
    </xf>
    <xf numFmtId="2" fontId="38" fillId="0" borderId="4" xfId="0" applyNumberFormat="1" applyFont="1" applyBorder="1" applyAlignment="1">
      <alignment horizontal="right"/>
    </xf>
    <xf numFmtId="10" fontId="21" fillId="0" borderId="0" xfId="0" applyNumberFormat="1" applyFont="1" applyAlignment="1">
      <alignment horizontal="right"/>
    </xf>
    <xf numFmtId="2" fontId="15" fillId="0" borderId="0" xfId="0" applyNumberFormat="1" applyFont="1" applyAlignment="1">
      <alignment horizontal="right"/>
    </xf>
    <xf numFmtId="0" fontId="19" fillId="0" borderId="8" xfId="0" applyFont="1" applyBorder="1"/>
    <xf numFmtId="0" fontId="19" fillId="0" borderId="13" xfId="0" applyFont="1" applyBorder="1"/>
    <xf numFmtId="10" fontId="38" fillId="2" borderId="19" xfId="2" applyNumberFormat="1" applyFont="1" applyFill="1" applyBorder="1" applyAlignment="1">
      <alignment horizontal="center"/>
    </xf>
    <xf numFmtId="0" fontId="34" fillId="4" borderId="25" xfId="0" applyFont="1" applyFill="1" applyBorder="1"/>
    <xf numFmtId="10" fontId="42" fillId="0" borderId="0" xfId="2" applyNumberFormat="1" applyFont="1" applyFill="1" applyBorder="1" applyAlignment="1">
      <alignment horizontal="center"/>
    </xf>
    <xf numFmtId="10" fontId="24" fillId="0" borderId="15" xfId="2" applyNumberFormat="1" applyFont="1" applyFill="1" applyBorder="1" applyAlignment="1">
      <alignment horizontal="center" vertical="center"/>
    </xf>
    <xf numFmtId="0" fontId="36" fillId="0" borderId="15" xfId="0" applyFont="1" applyBorder="1" applyAlignment="1">
      <alignment horizontal="center"/>
    </xf>
    <xf numFmtId="10" fontId="24" fillId="0" borderId="15" xfId="2" applyNumberFormat="1" applyFont="1" applyFill="1" applyBorder="1" applyAlignment="1">
      <alignment horizontal="center"/>
    </xf>
    <xf numFmtId="0" fontId="37" fillId="2" borderId="0" xfId="0" applyFont="1" applyFill="1" applyAlignment="1">
      <alignment horizontal="center"/>
    </xf>
    <xf numFmtId="0" fontId="19" fillId="2" borderId="39" xfId="0" applyFont="1" applyFill="1" applyBorder="1" applyAlignment="1">
      <alignment horizontal="center"/>
    </xf>
    <xf numFmtId="0" fontId="37" fillId="2" borderId="1" xfId="0" applyFont="1" applyFill="1" applyBorder="1" applyAlignment="1">
      <alignment horizontal="center"/>
    </xf>
    <xf numFmtId="0" fontId="37" fillId="2" borderId="28" xfId="0" applyFont="1" applyFill="1" applyBorder="1" applyAlignment="1">
      <alignment horizontal="center"/>
    </xf>
    <xf numFmtId="0" fontId="37" fillId="2" borderId="19" xfId="0" applyFont="1" applyFill="1" applyBorder="1" applyAlignment="1">
      <alignment horizontal="center"/>
    </xf>
    <xf numFmtId="0" fontId="37" fillId="2" borderId="21" xfId="0" applyFont="1" applyFill="1" applyBorder="1" applyAlignment="1">
      <alignment horizontal="center"/>
    </xf>
    <xf numFmtId="165" fontId="22" fillId="0" borderId="0" xfId="3" applyNumberFormat="1" applyFont="1" applyFill="1" applyAlignment="1">
      <alignment horizontal="right"/>
    </xf>
    <xf numFmtId="10" fontId="24" fillId="0" borderId="31" xfId="2" applyNumberFormat="1" applyFont="1" applyFill="1" applyBorder="1" applyAlignment="1">
      <alignment horizontal="right"/>
    </xf>
    <xf numFmtId="10" fontId="24" fillId="0" borderId="33" xfId="0" applyNumberFormat="1" applyFont="1" applyBorder="1"/>
    <xf numFmtId="10" fontId="42" fillId="0" borderId="15" xfId="2" applyNumberFormat="1" applyFont="1" applyFill="1" applyBorder="1" applyAlignment="1">
      <alignment horizontal="center"/>
    </xf>
    <xf numFmtId="0" fontId="0" fillId="0" borderId="19" xfId="0" applyBorder="1"/>
    <xf numFmtId="0" fontId="46" fillId="0" borderId="0" xfId="6" applyFont="1"/>
    <xf numFmtId="0" fontId="62" fillId="0" borderId="7" xfId="0" applyFont="1" applyBorder="1" applyAlignment="1">
      <alignment horizontal="center" vertical="center"/>
    </xf>
    <xf numFmtId="10" fontId="62" fillId="0" borderId="0" xfId="2" applyNumberFormat="1" applyFont="1" applyFill="1" applyBorder="1" applyAlignment="1">
      <alignment horizontal="center" vertical="center"/>
    </xf>
    <xf numFmtId="0" fontId="28" fillId="2" borderId="24" xfId="0" applyFont="1" applyFill="1" applyBorder="1" applyAlignment="1">
      <alignment horizontal="center"/>
    </xf>
    <xf numFmtId="10" fontId="22" fillId="2" borderId="9" xfId="2" applyNumberFormat="1" applyFont="1" applyFill="1" applyBorder="1" applyAlignment="1">
      <alignment horizontal="center"/>
    </xf>
    <xf numFmtId="10" fontId="22" fillId="2" borderId="3" xfId="2" applyNumberFormat="1" applyFont="1" applyFill="1" applyBorder="1" applyAlignment="1">
      <alignment horizontal="center"/>
    </xf>
    <xf numFmtId="10" fontId="22" fillId="2" borderId="3" xfId="1" applyNumberFormat="1" applyFont="1" applyFill="1" applyBorder="1" applyAlignment="1">
      <alignment horizontal="center"/>
    </xf>
    <xf numFmtId="10" fontId="22" fillId="2" borderId="23" xfId="1" applyNumberFormat="1" applyFont="1" applyFill="1" applyBorder="1" applyAlignment="1">
      <alignment horizontal="center"/>
    </xf>
    <xf numFmtId="10" fontId="22" fillId="2" borderId="9" xfId="1" applyNumberFormat="1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/>
    </xf>
    <xf numFmtId="0" fontId="19" fillId="2" borderId="41" xfId="0" applyFont="1" applyFill="1" applyBorder="1" applyAlignment="1">
      <alignment horizontal="center"/>
    </xf>
    <xf numFmtId="0" fontId="57" fillId="2" borderId="15" xfId="0" applyFont="1" applyFill="1" applyBorder="1"/>
    <xf numFmtId="10" fontId="22" fillId="0" borderId="1" xfId="1" applyNumberFormat="1" applyFont="1" applyFill="1" applyBorder="1" applyAlignment="1"/>
    <xf numFmtId="10" fontId="22" fillId="0" borderId="0" xfId="1" applyNumberFormat="1" applyFont="1" applyFill="1" applyAlignment="1">
      <alignment horizontal="right"/>
    </xf>
    <xf numFmtId="0" fontId="59" fillId="2" borderId="23" xfId="0" applyFont="1" applyFill="1" applyBorder="1" applyAlignment="1">
      <alignment horizontal="center" vertical="center" wrapText="1"/>
    </xf>
    <xf numFmtId="0" fontId="63" fillId="0" borderId="0" xfId="0" applyFont="1"/>
    <xf numFmtId="0" fontId="64" fillId="0" borderId="0" xfId="0" applyFont="1"/>
    <xf numFmtId="0" fontId="60" fillId="0" borderId="8" xfId="0" applyFont="1" applyBorder="1" applyAlignment="1">
      <alignment horizontal="center"/>
    </xf>
    <xf numFmtId="2" fontId="38" fillId="0" borderId="7" xfId="0" applyNumberFormat="1" applyFont="1" applyBorder="1" applyAlignment="1">
      <alignment horizontal="center"/>
    </xf>
    <xf numFmtId="2" fontId="38" fillId="0" borderId="8" xfId="0" applyNumberFormat="1" applyFont="1" applyBorder="1" applyAlignment="1">
      <alignment horizontal="center"/>
    </xf>
    <xf numFmtId="15" fontId="34" fillId="0" borderId="23" xfId="0" quotePrefix="1" applyNumberFormat="1" applyFont="1" applyBorder="1" applyAlignment="1">
      <alignment horizontal="center"/>
    </xf>
    <xf numFmtId="3" fontId="58" fillId="0" borderId="9" xfId="0" applyNumberFormat="1" applyFont="1" applyBorder="1"/>
    <xf numFmtId="3" fontId="58" fillId="0" borderId="9" xfId="0" applyNumberFormat="1" applyFont="1" applyBorder="1" applyAlignment="1">
      <alignment horizontal="right" vertical="center" wrapText="1"/>
    </xf>
    <xf numFmtId="0" fontId="37" fillId="0" borderId="23" xfId="0" applyFont="1" applyBorder="1"/>
    <xf numFmtId="15" fontId="34" fillId="0" borderId="9" xfId="0" quotePrefix="1" applyNumberFormat="1" applyFont="1" applyBorder="1" applyAlignment="1">
      <alignment horizontal="center"/>
    </xf>
    <xf numFmtId="10" fontId="38" fillId="0" borderId="9" xfId="2" applyNumberFormat="1" applyFont="1" applyFill="1" applyBorder="1"/>
    <xf numFmtId="10" fontId="38" fillId="0" borderId="3" xfId="2" applyNumberFormat="1" applyFont="1" applyFill="1" applyBorder="1"/>
    <xf numFmtId="0" fontId="37" fillId="0" borderId="9" xfId="0" applyFont="1" applyBorder="1"/>
    <xf numFmtId="164" fontId="38" fillId="0" borderId="9" xfId="1" applyNumberFormat="1" applyFont="1" applyFill="1" applyBorder="1"/>
    <xf numFmtId="164" fontId="38" fillId="0" borderId="3" xfId="1" applyNumberFormat="1" applyFont="1" applyFill="1" applyBorder="1"/>
    <xf numFmtId="0" fontId="5" fillId="0" borderId="0" xfId="0" applyFont="1"/>
    <xf numFmtId="0" fontId="45" fillId="5" borderId="24" xfId="0" applyFont="1" applyFill="1" applyBorder="1" applyAlignment="1">
      <alignment horizontal="center"/>
    </xf>
    <xf numFmtId="0" fontId="45" fillId="5" borderId="26" xfId="0" applyFont="1" applyFill="1" applyBorder="1" applyAlignment="1">
      <alignment horizontal="center"/>
    </xf>
    <xf numFmtId="0" fontId="28" fillId="0" borderId="28" xfId="0" applyFont="1" applyBorder="1"/>
    <xf numFmtId="10" fontId="45" fillId="0" borderId="24" xfId="2" applyNumberFormat="1" applyFont="1" applyFill="1" applyBorder="1" applyAlignment="1">
      <alignment horizontal="center"/>
    </xf>
    <xf numFmtId="10" fontId="65" fillId="0" borderId="24" xfId="2" applyNumberFormat="1" applyFont="1" applyFill="1" applyBorder="1" applyAlignment="1">
      <alignment horizontal="center"/>
    </xf>
    <xf numFmtId="0" fontId="28" fillId="0" borderId="19" xfId="0" applyFont="1" applyBorder="1"/>
    <xf numFmtId="10" fontId="45" fillId="0" borderId="25" xfId="2" applyNumberFormat="1" applyFont="1" applyFill="1" applyBorder="1" applyAlignment="1">
      <alignment horizontal="center"/>
    </xf>
    <xf numFmtId="10" fontId="65" fillId="0" borderId="25" xfId="2" applyNumberFormat="1" applyFont="1" applyFill="1" applyBorder="1" applyAlignment="1">
      <alignment horizontal="center"/>
    </xf>
    <xf numFmtId="0" fontId="28" fillId="0" borderId="21" xfId="0" applyFont="1" applyBorder="1"/>
    <xf numFmtId="10" fontId="45" fillId="0" borderId="26" xfId="2" applyNumberFormat="1" applyFont="1" applyFill="1" applyBorder="1" applyAlignment="1">
      <alignment horizontal="center"/>
    </xf>
    <xf numFmtId="10" fontId="65" fillId="0" borderId="26" xfId="2" applyNumberFormat="1" applyFont="1" applyFill="1" applyBorder="1" applyAlignment="1">
      <alignment horizontal="center"/>
    </xf>
    <xf numFmtId="10" fontId="28" fillId="0" borderId="25" xfId="2" applyNumberFormat="1" applyFont="1" applyFill="1" applyBorder="1" applyAlignment="1">
      <alignment horizontal="center"/>
    </xf>
    <xf numFmtId="10" fontId="28" fillId="0" borderId="26" xfId="2" applyNumberFormat="1" applyFont="1" applyFill="1" applyBorder="1" applyAlignment="1">
      <alignment horizontal="center"/>
    </xf>
    <xf numFmtId="10" fontId="45" fillId="0" borderId="25" xfId="2" applyNumberFormat="1" applyFont="1" applyBorder="1" applyAlignment="1">
      <alignment horizontal="center" vertical="center"/>
    </xf>
    <xf numFmtId="10" fontId="45" fillId="0" borderId="26" xfId="2" applyNumberFormat="1" applyFont="1" applyBorder="1" applyAlignment="1">
      <alignment horizontal="center" vertical="center"/>
    </xf>
    <xf numFmtId="10" fontId="28" fillId="0" borderId="24" xfId="2" applyNumberFormat="1" applyFont="1" applyFill="1" applyBorder="1" applyAlignment="1">
      <alignment horizontal="center"/>
    </xf>
    <xf numFmtId="0" fontId="38" fillId="0" borderId="28" xfId="0" applyFont="1" applyBorder="1"/>
    <xf numFmtId="0" fontId="19" fillId="0" borderId="30" xfId="0" applyFont="1" applyBorder="1"/>
    <xf numFmtId="0" fontId="19" fillId="0" borderId="29" xfId="0" applyFont="1" applyBorder="1"/>
    <xf numFmtId="0" fontId="0" fillId="0" borderId="29" xfId="0" applyBorder="1"/>
    <xf numFmtId="0" fontId="38" fillId="0" borderId="19" xfId="0" applyFont="1" applyBorder="1"/>
    <xf numFmtId="0" fontId="0" fillId="0" borderId="20" xfId="0" applyBorder="1"/>
    <xf numFmtId="0" fontId="38" fillId="0" borderId="21" xfId="0" applyFont="1" applyBorder="1"/>
    <xf numFmtId="0" fontId="19" fillId="0" borderId="1" xfId="0" applyFont="1" applyBorder="1"/>
    <xf numFmtId="0" fontId="0" fillId="0" borderId="22" xfId="0" applyBorder="1"/>
    <xf numFmtId="10" fontId="34" fillId="0" borderId="28" xfId="2" applyNumberFormat="1" applyFont="1" applyBorder="1" applyAlignment="1">
      <alignment horizontal="left"/>
    </xf>
    <xf numFmtId="0" fontId="0" fillId="0" borderId="30" xfId="0" applyBorder="1"/>
    <xf numFmtId="0" fontId="68" fillId="0" borderId="21" xfId="6" applyFont="1" applyBorder="1"/>
    <xf numFmtId="0" fontId="64" fillId="0" borderId="0" xfId="0" applyFont="1" applyAlignment="1">
      <alignment vertical="center"/>
    </xf>
    <xf numFmtId="15" fontId="69" fillId="0" borderId="0" xfId="0" quotePrefix="1" applyNumberFormat="1" applyFont="1" applyAlignment="1">
      <alignment horizontal="left"/>
    </xf>
    <xf numFmtId="0" fontId="70" fillId="0" borderId="0" xfId="6" applyFont="1"/>
    <xf numFmtId="0" fontId="61" fillId="0" borderId="0" xfId="0" applyFont="1"/>
    <xf numFmtId="0" fontId="71" fillId="0" borderId="0" xfId="0" applyFont="1" applyAlignment="1">
      <alignment vertical="center"/>
    </xf>
    <xf numFmtId="0" fontId="72" fillId="0" borderId="0" xfId="6" applyFont="1" applyAlignment="1">
      <alignment vertical="center"/>
    </xf>
    <xf numFmtId="0" fontId="70" fillId="0" borderId="0" xfId="6" applyFont="1" applyAlignment="1">
      <alignment vertical="center"/>
    </xf>
    <xf numFmtId="0" fontId="69" fillId="0" borderId="0" xfId="6" applyFont="1"/>
    <xf numFmtId="17" fontId="71" fillId="0" borderId="0" xfId="0" quotePrefix="1" applyNumberFormat="1" applyFont="1" applyAlignment="1">
      <alignment vertical="center"/>
    </xf>
    <xf numFmtId="0" fontId="73" fillId="0" borderId="0" xfId="6" applyFont="1" applyAlignment="1">
      <alignment vertical="center"/>
    </xf>
    <xf numFmtId="0" fontId="73" fillId="0" borderId="0" xfId="0" applyFont="1"/>
    <xf numFmtId="0" fontId="74" fillId="0" borderId="0" xfId="0" applyFont="1" applyAlignment="1">
      <alignment vertical="center"/>
    </xf>
    <xf numFmtId="0" fontId="75" fillId="0" borderId="0" xfId="0" applyFont="1"/>
    <xf numFmtId="0" fontId="28" fillId="5" borderId="27" xfId="0" applyFont="1" applyFill="1" applyBorder="1" applyAlignment="1">
      <alignment horizontal="center"/>
    </xf>
    <xf numFmtId="0" fontId="0" fillId="0" borderId="28" xfId="0" applyBorder="1"/>
    <xf numFmtId="0" fontId="76" fillId="0" borderId="30" xfId="0" applyFont="1" applyBorder="1" applyAlignment="1">
      <alignment horizontal="right"/>
    </xf>
    <xf numFmtId="0" fontId="0" fillId="0" borderId="24" xfId="0" applyBorder="1"/>
    <xf numFmtId="0" fontId="77" fillId="0" borderId="0" xfId="0" applyFont="1" applyAlignment="1">
      <alignment horizontal="right"/>
    </xf>
    <xf numFmtId="10" fontId="28" fillId="0" borderId="25" xfId="2" applyNumberFormat="1" applyFont="1" applyBorder="1" applyAlignment="1">
      <alignment horizontal="center"/>
    </xf>
    <xf numFmtId="0" fontId="28" fillId="0" borderId="0" xfId="0" applyFont="1" applyAlignment="1">
      <alignment horizontal="right" indent="1"/>
    </xf>
    <xf numFmtId="0" fontId="76" fillId="0" borderId="0" xfId="0" applyFont="1" applyAlignment="1">
      <alignment horizontal="right"/>
    </xf>
    <xf numFmtId="0" fontId="19" fillId="0" borderId="25" xfId="0" applyFont="1" applyBorder="1" applyAlignment="1">
      <alignment horizontal="center"/>
    </xf>
    <xf numFmtId="10" fontId="24" fillId="6" borderId="15" xfId="2" applyNumberFormat="1" applyFont="1" applyFill="1" applyBorder="1" applyAlignment="1">
      <alignment horizontal="center"/>
    </xf>
    <xf numFmtId="0" fontId="76" fillId="0" borderId="0" xfId="0" applyFont="1" applyAlignment="1">
      <alignment horizontal="right" vertical="center"/>
    </xf>
    <xf numFmtId="10" fontId="76" fillId="0" borderId="25" xfId="0" applyNumberFormat="1" applyFont="1" applyBorder="1" applyAlignment="1">
      <alignment horizontal="center"/>
    </xf>
    <xf numFmtId="0" fontId="0" fillId="0" borderId="21" xfId="0" applyBorder="1"/>
    <xf numFmtId="0" fontId="76" fillId="0" borderId="1" xfId="0" applyFont="1" applyBorder="1" applyAlignment="1">
      <alignment horizontal="right" vertical="center"/>
    </xf>
    <xf numFmtId="10" fontId="76" fillId="0" borderId="26" xfId="0" applyNumberFormat="1" applyFont="1" applyBorder="1" applyAlignment="1">
      <alignment horizontal="center"/>
    </xf>
    <xf numFmtId="15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2" fontId="5" fillId="0" borderId="0" xfId="0" applyNumberFormat="1" applyFont="1" applyAlignment="1">
      <alignment horizontal="left"/>
    </xf>
    <xf numFmtId="2" fontId="49" fillId="0" borderId="0" xfId="0" applyNumberFormat="1" applyFont="1" applyAlignment="1">
      <alignment horizontal="left"/>
    </xf>
    <xf numFmtId="10" fontId="66" fillId="0" borderId="0" xfId="2" applyNumberFormat="1" applyFont="1" applyFill="1" applyBorder="1" applyAlignment="1">
      <alignment horizontal="left"/>
    </xf>
    <xf numFmtId="0" fontId="67" fillId="0" borderId="0" xfId="0" applyFont="1" applyAlignment="1">
      <alignment horizontal="left"/>
    </xf>
    <xf numFmtId="10" fontId="42" fillId="6" borderId="15" xfId="2" applyNumberFormat="1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2" fontId="80" fillId="0" borderId="9" xfId="0" applyNumberFormat="1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5" fontId="34" fillId="0" borderId="12" xfId="0" quotePrefix="1" applyNumberFormat="1" applyFont="1" applyBorder="1" applyAlignment="1">
      <alignment horizontal="center"/>
    </xf>
    <xf numFmtId="164" fontId="38" fillId="0" borderId="12" xfId="1" applyNumberFormat="1" applyFont="1" applyFill="1" applyBorder="1"/>
    <xf numFmtId="3" fontId="38" fillId="0" borderId="12" xfId="0" applyNumberFormat="1" applyFont="1" applyBorder="1"/>
    <xf numFmtId="3" fontId="38" fillId="0" borderId="13" xfId="0" applyNumberFormat="1" applyFont="1" applyBorder="1"/>
    <xf numFmtId="164" fontId="38" fillId="0" borderId="8" xfId="1" applyNumberFormat="1" applyFont="1" applyFill="1" applyBorder="1"/>
    <xf numFmtId="15" fontId="34" fillId="0" borderId="5" xfId="0" quotePrefix="1" applyNumberFormat="1" applyFont="1" applyBorder="1" applyAlignment="1">
      <alignment horizontal="center"/>
    </xf>
    <xf numFmtId="15" fontId="34" fillId="0" borderId="7" xfId="0" quotePrefix="1" applyNumberFormat="1" applyFont="1" applyBorder="1" applyAlignment="1">
      <alignment horizontal="center"/>
    </xf>
    <xf numFmtId="0" fontId="38" fillId="0" borderId="7" xfId="0" applyFont="1" applyBorder="1" applyAlignment="1">
      <alignment horizontal="center"/>
    </xf>
    <xf numFmtId="164" fontId="38" fillId="0" borderId="7" xfId="1" applyNumberFormat="1" applyFont="1" applyFill="1" applyBorder="1"/>
    <xf numFmtId="0" fontId="18" fillId="0" borderId="0" xfId="6" applyAlignment="1">
      <alignment vertical="center"/>
    </xf>
    <xf numFmtId="0" fontId="28" fillId="5" borderId="17" xfId="0" applyFont="1" applyFill="1" applyBorder="1" applyAlignment="1">
      <alignment horizontal="center"/>
    </xf>
    <xf numFmtId="0" fontId="28" fillId="5" borderId="42" xfId="0" applyFont="1" applyFill="1" applyBorder="1" applyAlignment="1">
      <alignment horizontal="center"/>
    </xf>
    <xf numFmtId="0" fontId="28" fillId="5" borderId="18" xfId="0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81" fillId="0" borderId="0" xfId="0" applyNumberFormat="1" applyFont="1" applyAlignment="1">
      <alignment horizontal="center"/>
    </xf>
    <xf numFmtId="0" fontId="82" fillId="0" borderId="2" xfId="0" applyFont="1" applyBorder="1"/>
    <xf numFmtId="0" fontId="83" fillId="0" borderId="0" xfId="0" applyFont="1"/>
    <xf numFmtId="0" fontId="84" fillId="0" borderId="2" xfId="0" applyFont="1" applyBorder="1"/>
    <xf numFmtId="10" fontId="81" fillId="0" borderId="0" xfId="2" applyNumberFormat="1" applyFont="1" applyFill="1" applyBorder="1" applyAlignment="1">
      <alignment horizontal="center"/>
    </xf>
    <xf numFmtId="0" fontId="85" fillId="0" borderId="2" xfId="0" applyFont="1" applyBorder="1"/>
    <xf numFmtId="10" fontId="85" fillId="0" borderId="0" xfId="2" applyNumberFormat="1" applyFont="1" applyFill="1" applyAlignment="1">
      <alignment horizontal="center"/>
    </xf>
    <xf numFmtId="0" fontId="84" fillId="0" borderId="0" xfId="0" applyFont="1"/>
    <xf numFmtId="0" fontId="83" fillId="0" borderId="0" xfId="0" applyFont="1" applyAlignment="1">
      <alignment horizontal="left"/>
    </xf>
  </cellXfs>
  <cellStyles count="7">
    <cellStyle name="Comma" xfId="1" builtinId="3"/>
    <cellStyle name="Comma0 - Style5" xfId="4" xr:uid="{1397E544-7A5D-4627-82CA-446E9A855C6D}"/>
    <cellStyle name="Currency" xfId="3" builtinId="4"/>
    <cellStyle name="Hyperlink" xfId="6" builtinId="8"/>
    <cellStyle name="Normal" xfId="0" builtinId="0"/>
    <cellStyle name="Percen - Style2" xfId="5" xr:uid="{A055BC95-278A-4F04-A738-FFE257F1BA8F}"/>
    <cellStyle name="Percent" xfId="2" builtinId="5"/>
  </cellStyles>
  <dxfs count="0"/>
  <tableStyles count="0" defaultTableStyle="TableStyleMedium9" defaultPivotStyle="PivotStyleLight16"/>
  <colors>
    <mruColors>
      <color rgb="FF0000CC"/>
      <color rgb="FFE2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22/10/relationships/richValueRel" Target="richData/richValueRel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eetMetadata" Target="metadata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Relationship Id="rId27" Type="http://schemas.microsoft.com/office/2017/06/relationships/rdRichValueTypes" Target="richData/rdRichValueType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409575</xdr:colOff>
      <xdr:row>60</xdr:row>
      <xdr:rowOff>66675</xdr:rowOff>
    </xdr:to>
    <xdr:pic>
      <xdr:nvPicPr>
        <xdr:cNvPr id="2" name="Picture 1" descr="Valueline Pg 592, Feb 20, 2026, discussing the current status of the Pipeline MLP industry.">
          <a:extLst>
            <a:ext uri="{FF2B5EF4-FFF2-40B4-BE49-F238E27FC236}">
              <a16:creationId xmlns:a16="http://schemas.microsoft.com/office/drawing/2014/main" id="{C8BA2BEF-1947-6FB6-3E4D-49D006106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43975" cy="1149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29</xdr:col>
      <xdr:colOff>409575</xdr:colOff>
      <xdr:row>60</xdr:row>
      <xdr:rowOff>57150</xdr:rowOff>
    </xdr:to>
    <xdr:pic>
      <xdr:nvPicPr>
        <xdr:cNvPr id="3" name="Picture 2" descr="Valueline Pg 578, Feb 20, 2026, discussing the current status of the oil and gas industry.">
          <a:extLst>
            <a:ext uri="{FF2B5EF4-FFF2-40B4-BE49-F238E27FC236}">
              <a16:creationId xmlns:a16="http://schemas.microsoft.com/office/drawing/2014/main" id="{C12B62C3-8111-4850-4541-4FC346AD6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0" y="0"/>
          <a:ext cx="8943975" cy="1148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Team Kentucky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richmondfed.org/research/national_economy/cfo_survey" TargetMode="External"/><Relationship Id="rId2" Type="http://schemas.openxmlformats.org/officeDocument/2006/relationships/hyperlink" Target="http://pages.stern.nyu.edu/~adamodar/New_Home_Page/datacurrent.html" TargetMode="External"/><Relationship Id="rId1" Type="http://schemas.openxmlformats.org/officeDocument/2006/relationships/hyperlink" Target="https://www.bvresources.com/products/faqs/cost-of-capital-professional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;https:/papers.ssrn.com/sol3/papers.cfm?abstract_id=5260463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bo.gov/system/files/2025-01/60870-Outlook-2025.pdf" TargetMode="External"/><Relationship Id="rId13" Type="http://schemas.openxmlformats.org/officeDocument/2006/relationships/hyperlink" Target="ehttps://pages.stern.nyu.edu/~adamodar/pc/blog/S&amp;P500ValueJan2025.xlsx" TargetMode="External"/><Relationship Id="rId3" Type="http://schemas.openxmlformats.org/officeDocument/2006/relationships/hyperlink" Target="https://www.philadelphiafed.org/surveys-and-data/real-time-data-research/survey-of-professional-forecasters" TargetMode="External"/><Relationship Id="rId7" Type="http://schemas.openxmlformats.org/officeDocument/2006/relationships/hyperlink" Target="https://www.cbo.gov/system/files/2026-01/60870-Outlook-2026.pdf" TargetMode="External"/><Relationship Id="rId12" Type="http://schemas.openxmlformats.org/officeDocument/2006/relationships/hyperlink" Target="http://pages.stern.nyu.edu/~adamodar/" TargetMode="External"/><Relationship Id="rId2" Type="http://schemas.openxmlformats.org/officeDocument/2006/relationships/hyperlink" Target="https://www.philadelphiafed.org/research-and-data/real-time-center/livingston-survey" TargetMode="External"/><Relationship Id="rId1" Type="http://schemas.openxmlformats.org/officeDocument/2006/relationships/hyperlink" Target="http://www.federalreserve.gov/Releases/H15/Current/" TargetMode="External"/><Relationship Id="rId6" Type="http://schemas.openxmlformats.org/officeDocument/2006/relationships/hyperlink" Target="https://www.federalreserve.gov/monetarypolicy/files/fomcprojtabl20241218.pd" TargetMode="External"/><Relationship Id="rId11" Type="http://schemas.openxmlformats.org/officeDocument/2006/relationships/hyperlink" Target="http://pages.stern.nyu.edu/~adamodar/New_Home_Page/valquestions/stablegrowthrate.htm" TargetMode="External"/><Relationship Id="rId5" Type="http://schemas.openxmlformats.org/officeDocument/2006/relationships/hyperlink" Target="http://www.worldbank.org/en/publication/global-economic-prospects" TargetMode="External"/><Relationship Id="rId15" Type="http://schemas.openxmlformats.org/officeDocument/2006/relationships/printerSettings" Target="../printerSettings/printerSettings14.bin"/><Relationship Id="rId10" Type="http://schemas.openxmlformats.org/officeDocument/2006/relationships/hyperlink" Target="https://www.cbo.gov/data/budget-economic-data" TargetMode="External"/><Relationship Id="rId4" Type="http://schemas.openxmlformats.org/officeDocument/2006/relationships/hyperlink" Target="https://tradingeconomics.com/united-states/full-year-gdp-growth" TargetMode="External"/><Relationship Id="rId9" Type="http://schemas.openxmlformats.org/officeDocument/2006/relationships/hyperlink" Target="https://www.cbo.gov/publication/60870" TargetMode="External"/><Relationship Id="rId14" Type="http://schemas.openxmlformats.org/officeDocument/2006/relationships/hyperlink" Target="&#141;https:/home.treasury.gov/resource-center/data-chart-center/interest-rates/TextView?type=daily_treasury_yield_curve&amp;field_tdr_date_value=2026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M37"/>
  <sheetViews>
    <sheetView view="pageBreakPreview" zoomScaleNormal="100" zoomScaleSheetLayoutView="100" workbookViewId="0">
      <selection activeCell="G14" sqref="G14"/>
    </sheetView>
  </sheetViews>
  <sheetFormatPr defaultRowHeight="15"/>
  <cols>
    <col min="5" max="5" width="12.28515625" customWidth="1"/>
    <col min="9" max="9" width="16.42578125" customWidth="1"/>
  </cols>
  <sheetData>
    <row r="1" spans="1:13" ht="18.75">
      <c r="A1" s="475" t="s">
        <v>0</v>
      </c>
      <c r="B1" s="476"/>
      <c r="C1" s="476"/>
      <c r="D1" s="476"/>
      <c r="E1" s="476"/>
      <c r="F1" s="476"/>
      <c r="G1" s="476"/>
      <c r="H1" s="476"/>
      <c r="I1" s="476"/>
    </row>
    <row r="5" spans="1:13" ht="27">
      <c r="E5" s="477" t="s">
        <v>0</v>
      </c>
      <c r="F5" s="478"/>
      <c r="G5" s="478"/>
      <c r="H5" s="478"/>
      <c r="I5" s="478"/>
      <c r="J5" s="478"/>
      <c r="K5" s="478"/>
      <c r="L5" s="478"/>
      <c r="M5" s="478"/>
    </row>
    <row r="7" spans="1:13" ht="27">
      <c r="A7" s="479" t="s">
        <v>30</v>
      </c>
      <c r="B7" s="480"/>
      <c r="C7" s="480"/>
      <c r="D7" s="480"/>
      <c r="E7" s="480"/>
      <c r="F7" s="480"/>
      <c r="G7" s="480"/>
      <c r="H7" s="480"/>
      <c r="I7" s="480"/>
    </row>
    <row r="8" spans="1:13" ht="27">
      <c r="A8" s="6"/>
      <c r="B8" s="7"/>
      <c r="C8" s="7"/>
      <c r="D8" s="7"/>
      <c r="E8" s="6" t="s">
        <v>0</v>
      </c>
      <c r="F8" s="7"/>
      <c r="G8" s="7"/>
      <c r="H8" s="7"/>
      <c r="I8" s="7"/>
      <c r="J8" s="7"/>
      <c r="K8" s="7"/>
      <c r="L8" s="7"/>
      <c r="M8" s="7"/>
    </row>
    <row r="9" spans="1:13" ht="27">
      <c r="B9" s="7"/>
      <c r="C9" s="7"/>
      <c r="E9" s="6" t="s">
        <v>464</v>
      </c>
      <c r="G9" s="7"/>
      <c r="H9" s="7"/>
      <c r="I9" s="7"/>
    </row>
    <row r="15" spans="1:13">
      <c r="A15" s="472" t="s">
        <v>0</v>
      </c>
      <c r="B15" s="473"/>
      <c r="C15" s="473"/>
      <c r="D15" s="473"/>
      <c r="E15" s="473"/>
      <c r="F15" s="473"/>
      <c r="G15" s="473"/>
      <c r="H15" s="473"/>
      <c r="I15" s="473"/>
    </row>
    <row r="16" spans="1:13" ht="33.75">
      <c r="A16" s="470" t="str">
        <f>+'S&amp;D'!A12</f>
        <v>Natural Gas Transmission Pipeline Carrier</v>
      </c>
      <c r="B16" s="471"/>
      <c r="C16" s="471"/>
      <c r="D16" s="471"/>
      <c r="E16" s="471"/>
      <c r="F16" s="471"/>
      <c r="G16" s="471"/>
      <c r="H16" s="471"/>
      <c r="I16" s="471"/>
    </row>
    <row r="17" spans="1:9">
      <c r="A17" s="472" t="s">
        <v>0</v>
      </c>
      <c r="B17" s="473"/>
      <c r="C17" s="473"/>
      <c r="D17" s="473"/>
      <c r="E17" s="473"/>
      <c r="F17" s="473"/>
      <c r="G17" s="473"/>
      <c r="H17" s="473"/>
      <c r="I17" s="473"/>
    </row>
    <row r="18" spans="1:9">
      <c r="A18" s="8"/>
      <c r="B18" s="9"/>
      <c r="C18" s="9"/>
      <c r="D18" s="9"/>
      <c r="E18" s="9"/>
      <c r="F18" s="9"/>
      <c r="G18" s="9"/>
      <c r="H18" s="9"/>
      <c r="I18" s="9"/>
    </row>
    <row r="19" spans="1:9">
      <c r="A19" s="8"/>
      <c r="B19" s="9"/>
      <c r="C19" s="9"/>
      <c r="D19" s="9"/>
      <c r="E19" s="9"/>
      <c r="F19" s="9"/>
      <c r="G19" s="9"/>
      <c r="H19" s="9"/>
      <c r="I19" s="9"/>
    </row>
    <row r="20" spans="1:9">
      <c r="A20" s="8"/>
      <c r="B20" s="9"/>
      <c r="C20" s="9"/>
      <c r="D20" s="9"/>
      <c r="E20" s="9"/>
      <c r="F20" s="9"/>
      <c r="G20" s="9"/>
      <c r="H20" s="9"/>
      <c r="I20" s="9"/>
    </row>
    <row r="21" spans="1:9">
      <c r="A21" s="8"/>
      <c r="B21" s="9"/>
      <c r="C21" s="9"/>
      <c r="D21" s="9"/>
      <c r="E21" s="9"/>
      <c r="F21" s="9"/>
      <c r="G21" s="9"/>
      <c r="H21" s="9"/>
      <c r="I21" s="9"/>
    </row>
    <row r="22" spans="1:9">
      <c r="A22" s="8"/>
      <c r="B22" s="9"/>
      <c r="C22" s="9"/>
      <c r="D22" s="9"/>
      <c r="E22" s="9"/>
      <c r="F22" s="9"/>
      <c r="G22" s="9"/>
      <c r="H22" s="9"/>
      <c r="I22" s="9"/>
    </row>
    <row r="23" spans="1:9">
      <c r="A23" s="8"/>
      <c r="B23" s="9"/>
      <c r="C23" s="9"/>
      <c r="D23" s="9"/>
      <c r="E23" s="9"/>
      <c r="F23" s="9"/>
      <c r="G23" s="9"/>
      <c r="H23" s="9"/>
      <c r="I23" s="9"/>
    </row>
    <row r="24" spans="1:9">
      <c r="A24" s="8"/>
      <c r="B24" s="9"/>
      <c r="C24" s="9"/>
      <c r="D24" s="9"/>
      <c r="E24" s="9"/>
      <c r="F24" s="9"/>
      <c r="G24" s="9"/>
      <c r="H24" s="9"/>
      <c r="I24" s="9"/>
    </row>
    <row r="25" spans="1:9">
      <c r="A25" s="8"/>
      <c r="B25" s="9"/>
      <c r="C25" s="9"/>
      <c r="D25" s="9"/>
      <c r="E25" s="9"/>
      <c r="F25" s="9"/>
      <c r="G25" s="9"/>
      <c r="H25" s="9"/>
      <c r="I25" s="9"/>
    </row>
    <row r="26" spans="1:9">
      <c r="A26" s="8"/>
      <c r="B26" s="9"/>
      <c r="C26" s="9"/>
      <c r="D26" s="9"/>
      <c r="E26" s="9"/>
      <c r="F26" s="9"/>
      <c r="G26" s="9"/>
      <c r="H26" s="9"/>
      <c r="I26" s="9"/>
    </row>
    <row r="27" spans="1:9">
      <c r="A27" s="8"/>
      <c r="B27" s="9"/>
      <c r="C27" s="9"/>
      <c r="D27" s="9"/>
      <c r="E27" s="9"/>
      <c r="F27" s="9"/>
      <c r="G27" s="9"/>
      <c r="H27" s="9"/>
      <c r="I27" s="9"/>
    </row>
    <row r="28" spans="1:9">
      <c r="A28" s="8"/>
      <c r="B28" s="9"/>
      <c r="C28" s="9"/>
      <c r="D28" s="9"/>
      <c r="E28" s="9"/>
      <c r="F28" s="9"/>
      <c r="G28" s="9"/>
      <c r="H28" s="9"/>
      <c r="I28" s="9"/>
    </row>
    <row r="29" spans="1:9">
      <c r="A29" s="472" t="s">
        <v>0</v>
      </c>
      <c r="B29" s="473"/>
      <c r="C29" s="473"/>
      <c r="D29" s="473"/>
      <c r="E29" s="473"/>
      <c r="F29" s="473"/>
      <c r="G29" s="473"/>
      <c r="H29" s="473"/>
      <c r="I29" s="473"/>
    </row>
    <row r="34" spans="1:9">
      <c r="A34" s="474" t="e" vm="1">
        <v>#VALUE!</v>
      </c>
      <c r="B34" s="474"/>
      <c r="C34" s="474"/>
      <c r="D34" s="474"/>
      <c r="E34" s="474"/>
      <c r="F34" s="474"/>
      <c r="G34" s="474"/>
      <c r="H34" s="474"/>
      <c r="I34" s="474"/>
    </row>
    <row r="35" spans="1:9">
      <c r="A35" s="474"/>
      <c r="B35" s="474"/>
      <c r="C35" s="474"/>
      <c r="D35" s="474"/>
      <c r="E35" s="474"/>
      <c r="F35" s="474"/>
      <c r="G35" s="474"/>
      <c r="H35" s="474"/>
      <c r="I35" s="474"/>
    </row>
    <row r="36" spans="1:9">
      <c r="A36" s="474"/>
      <c r="B36" s="474"/>
      <c r="C36" s="474"/>
      <c r="D36" s="474"/>
      <c r="E36" s="474"/>
      <c r="F36" s="474"/>
      <c r="G36" s="474"/>
      <c r="H36" s="474"/>
      <c r="I36" s="474"/>
    </row>
    <row r="37" spans="1:9">
      <c r="A37" s="474"/>
      <c r="B37" s="474"/>
      <c r="C37" s="474"/>
      <c r="D37" s="474"/>
      <c r="E37" s="474"/>
      <c r="F37" s="474"/>
      <c r="G37" s="474"/>
      <c r="H37" s="474"/>
      <c r="I37" s="474"/>
    </row>
  </sheetData>
  <mergeCells count="8">
    <mergeCell ref="A16:I16"/>
    <mergeCell ref="A17:I17"/>
    <mergeCell ref="A29:I29"/>
    <mergeCell ref="A34:I37"/>
    <mergeCell ref="A1:I1"/>
    <mergeCell ref="E5:M5"/>
    <mergeCell ref="A7:I7"/>
    <mergeCell ref="A15:I15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K31"/>
  <sheetViews>
    <sheetView view="pageBreakPreview" topLeftCell="A16" zoomScale="80" zoomScaleNormal="80" zoomScaleSheetLayoutView="80" workbookViewId="0">
      <selection activeCell="F24" sqref="F24"/>
    </sheetView>
  </sheetViews>
  <sheetFormatPr defaultRowHeight="15"/>
  <cols>
    <col min="1" max="1" width="22.28515625" customWidth="1"/>
    <col min="2" max="2" width="39.7109375" customWidth="1"/>
    <col min="3" max="3" width="16.85546875" customWidth="1"/>
    <col min="4" max="4" width="35.28515625" customWidth="1"/>
    <col min="5" max="5" width="18" customWidth="1"/>
    <col min="6" max="6" width="20.85546875" bestFit="1" customWidth="1"/>
    <col min="7" max="7" width="22" customWidth="1"/>
    <col min="8" max="8" width="23.7109375" customWidth="1"/>
  </cols>
  <sheetData>
    <row r="1" spans="1:11" ht="26.25">
      <c r="A1" s="22" t="s">
        <v>1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17.25">
      <c r="A2" s="23" t="s">
        <v>9</v>
      </c>
      <c r="C2" s="11"/>
      <c r="D2" s="11"/>
      <c r="E2" s="11"/>
      <c r="F2" s="11"/>
      <c r="G2" s="11"/>
      <c r="H2" s="11"/>
      <c r="I2" s="11"/>
      <c r="J2" s="11"/>
      <c r="K2" s="11"/>
    </row>
    <row r="3" spans="1:11" ht="17.25" customHeight="1">
      <c r="A3" s="24" t="s">
        <v>465</v>
      </c>
      <c r="C3" s="11"/>
      <c r="D3" s="11"/>
      <c r="E3" s="11"/>
      <c r="F3" s="11"/>
      <c r="G3" s="11"/>
      <c r="H3" s="11"/>
      <c r="I3" s="11"/>
      <c r="J3" s="11"/>
      <c r="K3" s="11"/>
    </row>
    <row r="4" spans="1:11" ht="17.25" customHeight="1">
      <c r="B4" s="24"/>
      <c r="C4" s="11"/>
      <c r="D4" s="11"/>
      <c r="E4" s="11"/>
      <c r="F4" s="11"/>
      <c r="G4" s="11"/>
      <c r="H4" s="11"/>
      <c r="I4" s="11"/>
      <c r="J4" s="11"/>
      <c r="K4" s="11"/>
    </row>
    <row r="5" spans="1:11" ht="17.25" customHeight="1">
      <c r="B5" s="133"/>
      <c r="C5" s="11"/>
      <c r="D5" s="11"/>
      <c r="E5" s="11"/>
      <c r="F5" s="11"/>
      <c r="G5" s="11"/>
      <c r="H5" s="11"/>
      <c r="I5" s="11"/>
      <c r="J5" s="11"/>
      <c r="K5" s="11"/>
    </row>
    <row r="6" spans="1:11" ht="17.25" customHeight="1">
      <c r="B6" s="133"/>
      <c r="C6" s="11"/>
      <c r="D6" s="11"/>
      <c r="E6" s="11"/>
      <c r="F6" s="11"/>
      <c r="G6" s="11"/>
      <c r="H6" s="11"/>
      <c r="I6" s="11"/>
      <c r="J6" s="11"/>
      <c r="K6" s="11"/>
    </row>
    <row r="7" spans="1:11" ht="17.25" customHeight="1">
      <c r="B7" s="133"/>
      <c r="C7" s="11"/>
      <c r="D7" s="11"/>
      <c r="E7" s="11"/>
      <c r="F7" s="11"/>
      <c r="G7" s="11"/>
      <c r="H7" s="11"/>
      <c r="I7" s="11"/>
      <c r="J7" s="11"/>
      <c r="K7" s="11"/>
    </row>
    <row r="8" spans="1:11" ht="16.5">
      <c r="B8" s="24"/>
      <c r="C8" s="11"/>
      <c r="D8" s="11"/>
      <c r="E8" s="11"/>
      <c r="F8" s="11"/>
      <c r="G8" s="11"/>
      <c r="H8" s="11"/>
      <c r="I8" s="11"/>
      <c r="J8" s="11"/>
      <c r="K8" s="11"/>
    </row>
    <row r="9" spans="1:11" ht="20.25">
      <c r="B9" s="11"/>
      <c r="C9" s="11"/>
      <c r="D9" s="74" t="s">
        <v>0</v>
      </c>
      <c r="E9" s="11"/>
      <c r="F9" s="11"/>
      <c r="G9" s="11"/>
      <c r="H9" s="11"/>
      <c r="I9" s="11"/>
      <c r="J9" s="11"/>
      <c r="K9" s="11"/>
    </row>
    <row r="10" spans="1:11" ht="20.25">
      <c r="B10" s="11"/>
      <c r="C10" s="11"/>
      <c r="D10" s="74" t="s">
        <v>63</v>
      </c>
      <c r="E10" s="11"/>
      <c r="F10" s="11"/>
      <c r="G10" s="11"/>
      <c r="H10" s="11"/>
      <c r="I10" s="11"/>
      <c r="J10" s="11"/>
      <c r="K10" s="11"/>
    </row>
    <row r="11" spans="1:11" ht="16.5"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1" ht="16.5"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6.5">
      <c r="B13" s="11"/>
      <c r="C13" s="11"/>
      <c r="D13" s="11"/>
      <c r="E13" s="25"/>
      <c r="F13" s="11"/>
      <c r="G13" s="11"/>
      <c r="H13" s="11"/>
      <c r="I13" s="11"/>
      <c r="J13" s="11"/>
      <c r="K13" s="11"/>
    </row>
    <row r="14" spans="1:11" ht="16.5"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ht="17.25" thickBot="1">
      <c r="B15" s="11"/>
      <c r="C15" s="27"/>
      <c r="D15" s="27"/>
      <c r="E15" s="27"/>
      <c r="F15" s="11"/>
      <c r="G15" s="11"/>
      <c r="H15" s="11"/>
      <c r="I15" s="11"/>
      <c r="J15" s="11"/>
      <c r="K15" s="11"/>
    </row>
    <row r="16" spans="1:11" ht="26.25">
      <c r="B16" s="11"/>
      <c r="C16" s="11"/>
      <c r="D16" s="29" t="str">
        <f>+'S&amp;D'!A12</f>
        <v>Natural Gas Transmission Pipeline Carrier</v>
      </c>
      <c r="E16" s="11"/>
      <c r="F16" s="11"/>
      <c r="G16" s="11"/>
      <c r="H16" s="11"/>
      <c r="I16" s="11"/>
      <c r="J16" s="11"/>
      <c r="K16" s="11"/>
    </row>
    <row r="17" spans="2:11" ht="17.25" thickBot="1">
      <c r="B17" s="11"/>
      <c r="C17" s="27"/>
      <c r="D17" s="34" t="s">
        <v>0</v>
      </c>
      <c r="E17" s="27"/>
      <c r="F17" s="11"/>
      <c r="G17" s="11"/>
      <c r="H17" s="11"/>
      <c r="I17" s="11"/>
      <c r="J17" s="11"/>
      <c r="K17" s="11"/>
    </row>
    <row r="18" spans="2:11" ht="17.25" thickBot="1">
      <c r="B18" s="27"/>
      <c r="C18" s="27"/>
      <c r="D18" s="34" t="s">
        <v>0</v>
      </c>
      <c r="E18" s="27"/>
      <c r="F18" s="27"/>
      <c r="G18" s="27"/>
      <c r="H18" s="11"/>
      <c r="I18" s="11"/>
      <c r="J18" s="11"/>
      <c r="K18" s="11"/>
    </row>
    <row r="19" spans="2:11" ht="16.5">
      <c r="B19" s="32" t="s">
        <v>31</v>
      </c>
      <c r="C19" s="32" t="s">
        <v>32</v>
      </c>
      <c r="D19" s="32" t="s">
        <v>33</v>
      </c>
      <c r="E19" s="32" t="s">
        <v>67</v>
      </c>
      <c r="F19" s="32" t="s">
        <v>33</v>
      </c>
      <c r="G19" s="32" t="s">
        <v>34</v>
      </c>
      <c r="H19" s="11"/>
      <c r="I19" s="11"/>
      <c r="J19" s="11"/>
      <c r="K19" s="11"/>
    </row>
    <row r="20" spans="2:11" ht="17.25" thickBot="1">
      <c r="B20" s="34" t="s">
        <v>32</v>
      </c>
      <c r="C20" s="34" t="s">
        <v>35</v>
      </c>
      <c r="D20" s="34" t="s">
        <v>36</v>
      </c>
      <c r="E20" s="34" t="s">
        <v>23</v>
      </c>
      <c r="F20" s="34" t="s">
        <v>37</v>
      </c>
      <c r="G20" s="34" t="s">
        <v>38</v>
      </c>
      <c r="H20" s="11"/>
      <c r="I20" s="11"/>
      <c r="J20" s="11"/>
      <c r="K20" s="11"/>
    </row>
    <row r="21" spans="2:11" ht="16.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11"/>
      <c r="I21" s="11"/>
      <c r="J21" s="11"/>
      <c r="K21" s="11"/>
    </row>
    <row r="22" spans="2:11" ht="16.5">
      <c r="B22" s="32"/>
      <c r="C22" s="32"/>
      <c r="D22" s="32"/>
      <c r="E22" s="32"/>
      <c r="F22" s="32"/>
      <c r="G22" s="32"/>
      <c r="H22" s="11"/>
      <c r="I22" s="11"/>
      <c r="J22" s="11"/>
      <c r="K22" s="11"/>
    </row>
    <row r="23" spans="2:11" ht="17.25">
      <c r="B23" s="86" t="s">
        <v>39</v>
      </c>
      <c r="C23" s="126">
        <f>'S&amp;D'!I49</f>
        <v>0.63</v>
      </c>
      <c r="D23" s="126">
        <f>+'Indicated Yield Equity Rate '!D52</f>
        <v>9.9299999999999999E-2</v>
      </c>
      <c r="E23" s="99"/>
      <c r="F23" s="126">
        <f>+D23</f>
        <v>9.9299999999999999E-2</v>
      </c>
      <c r="G23" s="127">
        <f>+F23*C23</f>
        <v>6.2559000000000003E-2</v>
      </c>
      <c r="H23" s="11"/>
      <c r="I23" s="11"/>
      <c r="J23" s="11"/>
      <c r="K23" s="11"/>
    </row>
    <row r="24" spans="2:11" ht="17.25">
      <c r="B24" s="86" t="s">
        <v>0</v>
      </c>
      <c r="C24" s="99" t="s">
        <v>0</v>
      </c>
      <c r="D24" s="99" t="s">
        <v>0</v>
      </c>
      <c r="E24" s="99"/>
      <c r="F24" s="481" t="s">
        <v>0</v>
      </c>
      <c r="G24" s="116" t="s">
        <v>0</v>
      </c>
      <c r="H24" s="11"/>
      <c r="I24" s="11"/>
      <c r="J24" s="11"/>
      <c r="K24" s="11"/>
    </row>
    <row r="25" spans="2:11" ht="17.25">
      <c r="B25" s="86" t="s">
        <v>41</v>
      </c>
      <c r="C25" s="126">
        <f>'S&amp;D'!J49</f>
        <v>0.37</v>
      </c>
      <c r="D25" s="126">
        <f>+Debt!J29</f>
        <v>5.8599999999999999E-2</v>
      </c>
      <c r="E25" s="126">
        <v>0.26</v>
      </c>
      <c r="F25" s="126">
        <f>+D25*(1-E25)</f>
        <v>4.3364E-2</v>
      </c>
      <c r="G25" s="127">
        <f>+C25*F25</f>
        <v>1.6044679999999999E-2</v>
      </c>
      <c r="H25" s="11"/>
      <c r="I25" s="11"/>
      <c r="J25" s="11"/>
      <c r="K25" s="11"/>
    </row>
    <row r="26" spans="2:11" ht="18" thickBot="1">
      <c r="B26" s="93" t="s">
        <v>0</v>
      </c>
      <c r="C26" s="93" t="s">
        <v>0</v>
      </c>
      <c r="D26" s="93" t="s">
        <v>0</v>
      </c>
      <c r="E26" s="93" t="s">
        <v>0</v>
      </c>
      <c r="F26" s="128" t="s">
        <v>0</v>
      </c>
      <c r="G26" s="129" t="s">
        <v>0</v>
      </c>
      <c r="H26" s="11"/>
      <c r="I26" s="11"/>
      <c r="J26" s="11"/>
      <c r="K26" s="11"/>
    </row>
    <row r="27" spans="2:11" ht="17.25">
      <c r="B27" s="86" t="s">
        <v>70</v>
      </c>
      <c r="C27" s="130">
        <f>+C23+C25</f>
        <v>1</v>
      </c>
      <c r="D27" s="86" t="s">
        <v>0</v>
      </c>
      <c r="E27" s="86" t="s">
        <v>0</v>
      </c>
      <c r="F27" s="131" t="s">
        <v>0</v>
      </c>
      <c r="G27" s="127">
        <f>+G23+G25</f>
        <v>7.8603680000000009E-2</v>
      </c>
      <c r="H27" s="11"/>
      <c r="I27" s="11"/>
      <c r="J27" s="11"/>
      <c r="K27" s="11"/>
    </row>
    <row r="28" spans="2:11" ht="18" thickBot="1">
      <c r="B28" s="59"/>
      <c r="C28" s="59"/>
      <c r="D28" s="59"/>
      <c r="E28" s="59"/>
      <c r="F28" s="59"/>
      <c r="G28" s="132"/>
      <c r="H28" s="11"/>
      <c r="I28" s="11"/>
      <c r="J28" s="11"/>
      <c r="K28" s="11"/>
    </row>
    <row r="29" spans="2:11" ht="18" thickBot="1">
      <c r="B29" s="11"/>
      <c r="C29" s="11"/>
      <c r="D29" s="11"/>
      <c r="E29" s="11"/>
      <c r="F29" s="179" t="s">
        <v>73</v>
      </c>
      <c r="G29" s="274">
        <v>7.8600000000000003E-2</v>
      </c>
      <c r="H29" s="11"/>
      <c r="I29" s="11"/>
      <c r="J29" s="11"/>
      <c r="K29" s="11"/>
    </row>
    <row r="30" spans="2:11" ht="16.5">
      <c r="B30" s="11"/>
      <c r="C30" s="11"/>
      <c r="D30" s="11"/>
      <c r="E30" s="11"/>
      <c r="F30" s="11"/>
      <c r="G30" s="11"/>
      <c r="H30" s="11"/>
      <c r="I30" s="11"/>
      <c r="J30" s="11"/>
      <c r="K30" s="11"/>
    </row>
    <row r="31" spans="2:11" ht="16.5">
      <c r="B31" s="11"/>
      <c r="C31" s="11"/>
      <c r="D31" s="11"/>
      <c r="E31" s="11"/>
      <c r="F31" s="11"/>
      <c r="G31" s="11"/>
      <c r="H31" s="11"/>
      <c r="I31" s="11"/>
      <c r="J31" s="11"/>
      <c r="K31" s="11"/>
    </row>
  </sheetData>
  <pageMargins left="0.25" right="0.25" top="0.75" bottom="0.75" header="0.3" footer="0.3"/>
  <pageSetup scale="6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631F-B284-4F75-B05C-C409AB53D71E}">
  <sheetPr>
    <tabColor rgb="FF92D050"/>
    <pageSetUpPr fitToPage="1"/>
  </sheetPr>
  <dimension ref="A1:K64"/>
  <sheetViews>
    <sheetView view="pageBreakPreview" zoomScale="80" zoomScaleNormal="80" zoomScaleSheetLayoutView="80" workbookViewId="0">
      <selection activeCell="F57" activeCellId="1" sqref="F24 F57"/>
    </sheetView>
  </sheetViews>
  <sheetFormatPr defaultRowHeight="15"/>
  <cols>
    <col min="1" max="1" width="17.28515625" customWidth="1"/>
    <col min="2" max="2" width="31.7109375" customWidth="1"/>
    <col min="3" max="3" width="16.5703125" customWidth="1"/>
    <col min="4" max="4" width="35.28515625" customWidth="1"/>
    <col min="5" max="5" width="14.85546875" customWidth="1"/>
    <col min="6" max="6" width="25.85546875" customWidth="1"/>
    <col min="7" max="7" width="24.140625" customWidth="1"/>
    <col min="8" max="8" width="17.7109375" customWidth="1"/>
  </cols>
  <sheetData>
    <row r="1" spans="1:11" ht="26.25">
      <c r="A1" s="22" t="s">
        <v>1</v>
      </c>
      <c r="C1" s="11"/>
      <c r="D1" s="11"/>
      <c r="E1" s="11"/>
      <c r="F1" s="11"/>
      <c r="G1" s="11"/>
      <c r="H1" s="11"/>
      <c r="I1" s="11"/>
      <c r="J1" s="11"/>
      <c r="K1" s="11"/>
    </row>
    <row r="2" spans="1:11" ht="17.25">
      <c r="A2" s="23" t="s">
        <v>9</v>
      </c>
      <c r="C2" s="11"/>
      <c r="D2" s="11"/>
      <c r="E2" s="11"/>
      <c r="F2" s="11"/>
      <c r="G2" s="11"/>
      <c r="H2" s="11"/>
      <c r="I2" s="11"/>
      <c r="J2" s="11"/>
      <c r="K2" s="11"/>
    </row>
    <row r="3" spans="1:11" ht="16.5">
      <c r="A3" s="24" t="s">
        <v>465</v>
      </c>
      <c r="C3" s="11"/>
      <c r="D3" s="11"/>
      <c r="E3" s="11"/>
      <c r="F3" s="11"/>
      <c r="G3" s="11"/>
      <c r="H3" s="11"/>
      <c r="I3" s="11"/>
      <c r="J3" s="11"/>
      <c r="K3" s="11"/>
    </row>
    <row r="4" spans="1:11" ht="16.5">
      <c r="B4" s="24"/>
      <c r="C4" s="11"/>
      <c r="D4" s="11"/>
      <c r="E4" s="11"/>
      <c r="F4" s="11"/>
      <c r="G4" s="11"/>
      <c r="H4" s="11"/>
      <c r="I4" s="11"/>
      <c r="J4" s="11"/>
      <c r="K4" s="11"/>
    </row>
    <row r="5" spans="1:11" ht="16.5">
      <c r="B5" s="24"/>
      <c r="C5" s="11"/>
      <c r="D5" s="11"/>
      <c r="E5" s="11"/>
      <c r="F5" s="11"/>
      <c r="G5" s="11"/>
      <c r="H5" s="11"/>
      <c r="I5" s="11"/>
      <c r="J5" s="11"/>
      <c r="K5" s="11"/>
    </row>
    <row r="6" spans="1:11" ht="16.5">
      <c r="B6" s="24"/>
      <c r="C6" s="11"/>
      <c r="D6" s="11"/>
      <c r="E6" s="11"/>
      <c r="F6" s="11"/>
      <c r="G6" s="11"/>
      <c r="H6" s="11"/>
      <c r="I6" s="11"/>
      <c r="J6" s="11"/>
      <c r="K6" s="11"/>
    </row>
    <row r="7" spans="1:11" ht="16.5">
      <c r="B7" s="24"/>
      <c r="C7" s="11"/>
      <c r="D7" s="11"/>
      <c r="E7" s="11"/>
      <c r="F7" s="11"/>
      <c r="G7" s="11"/>
      <c r="H7" s="11"/>
      <c r="I7" s="11"/>
      <c r="J7" s="11"/>
      <c r="K7" s="11"/>
    </row>
    <row r="8" spans="1:11" ht="16.5">
      <c r="B8" s="24"/>
      <c r="C8" s="11"/>
      <c r="D8" s="11"/>
      <c r="E8" s="11"/>
      <c r="F8" s="11"/>
      <c r="G8" s="11"/>
      <c r="H8" s="11"/>
      <c r="I8" s="11"/>
      <c r="J8" s="11"/>
      <c r="K8" s="11"/>
    </row>
    <row r="9" spans="1:11" ht="16.5">
      <c r="B9" s="24"/>
      <c r="C9" s="11"/>
      <c r="D9" s="11"/>
      <c r="E9" s="11"/>
      <c r="F9" s="11"/>
      <c r="G9" s="11"/>
      <c r="H9" s="11"/>
      <c r="I9" s="11"/>
      <c r="J9" s="11"/>
      <c r="K9" s="11"/>
    </row>
    <row r="10" spans="1:11" ht="20.25">
      <c r="B10" s="11"/>
      <c r="C10" s="11"/>
      <c r="D10" s="74" t="s">
        <v>0</v>
      </c>
      <c r="E10" s="11"/>
      <c r="F10" s="11"/>
      <c r="G10" s="11"/>
      <c r="H10" s="11"/>
      <c r="I10" s="11"/>
      <c r="J10" s="11"/>
      <c r="K10" s="11"/>
    </row>
    <row r="11" spans="1:11" ht="20.25">
      <c r="B11" s="11"/>
      <c r="C11" s="11"/>
      <c r="D11" s="74" t="s">
        <v>62</v>
      </c>
      <c r="E11" s="11"/>
      <c r="F11" s="11"/>
      <c r="G11" s="11"/>
      <c r="H11" s="11"/>
      <c r="I11" s="11"/>
      <c r="J11" s="11"/>
      <c r="K11" s="11"/>
    </row>
    <row r="12" spans="1:11" ht="16.5"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spans="1:11" ht="16.5"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17.25" thickBot="1">
      <c r="B14" s="11"/>
      <c r="C14" s="27"/>
      <c r="D14" s="27"/>
      <c r="E14" s="27"/>
      <c r="F14" s="11"/>
      <c r="G14" s="11"/>
      <c r="H14" s="11"/>
      <c r="I14" s="11"/>
      <c r="J14" s="11"/>
      <c r="K14" s="11"/>
    </row>
    <row r="15" spans="1:11" ht="26.25">
      <c r="B15" s="11"/>
      <c r="C15" s="11"/>
      <c r="D15" s="29" t="str">
        <f>'S&amp;D'!A12</f>
        <v>Natural Gas Transmission Pipeline Carrier</v>
      </c>
      <c r="E15" s="11"/>
      <c r="F15" s="11"/>
      <c r="G15" s="11"/>
      <c r="H15" s="11"/>
      <c r="I15" s="11"/>
      <c r="J15" s="11"/>
      <c r="K15" s="11"/>
    </row>
    <row r="16" spans="1:11" ht="21" thickBot="1">
      <c r="B16" s="11"/>
      <c r="C16" s="27"/>
      <c r="D16" s="125" t="s">
        <v>69</v>
      </c>
      <c r="E16" s="27"/>
      <c r="F16" s="11"/>
      <c r="G16" s="11"/>
      <c r="H16" s="11"/>
      <c r="I16" s="11"/>
      <c r="J16" s="11"/>
      <c r="K16" s="11"/>
    </row>
    <row r="17" spans="2:11" ht="16.5">
      <c r="H17" s="11"/>
      <c r="I17" s="11"/>
      <c r="J17" s="11"/>
      <c r="K17" s="11"/>
    </row>
    <row r="18" spans="2:11" ht="17.25" thickBot="1">
      <c r="B18" s="27"/>
      <c r="C18" s="27"/>
      <c r="D18" s="34" t="s">
        <v>0</v>
      </c>
      <c r="E18" s="27"/>
      <c r="F18" s="27"/>
      <c r="G18" s="27"/>
      <c r="H18" s="11"/>
      <c r="I18" s="11"/>
      <c r="J18" s="11"/>
      <c r="K18" s="11"/>
    </row>
    <row r="19" spans="2:11" ht="16.5">
      <c r="B19" s="32" t="s">
        <v>31</v>
      </c>
      <c r="C19" s="32" t="s">
        <v>32</v>
      </c>
      <c r="D19" s="32" t="s">
        <v>66</v>
      </c>
      <c r="E19" s="32" t="s">
        <v>67</v>
      </c>
      <c r="F19" s="32" t="s">
        <v>65</v>
      </c>
      <c r="G19" s="32" t="s">
        <v>34</v>
      </c>
      <c r="H19" s="11"/>
      <c r="I19" s="11"/>
      <c r="J19" s="11"/>
      <c r="K19" s="11"/>
    </row>
    <row r="20" spans="2:11" ht="17.25" thickBot="1">
      <c r="B20" s="34" t="s">
        <v>32</v>
      </c>
      <c r="C20" s="34" t="s">
        <v>35</v>
      </c>
      <c r="D20" s="34" t="s">
        <v>36</v>
      </c>
      <c r="E20" s="34" t="s">
        <v>23</v>
      </c>
      <c r="F20" s="34" t="s">
        <v>37</v>
      </c>
      <c r="G20" s="34" t="s">
        <v>68</v>
      </c>
      <c r="H20" s="11"/>
      <c r="I20" s="11"/>
      <c r="J20" s="11"/>
      <c r="K20" s="11"/>
    </row>
    <row r="21" spans="2:11" ht="16.5">
      <c r="B21" s="36" t="s">
        <v>0</v>
      </c>
      <c r="C21" s="36" t="s">
        <v>0</v>
      </c>
      <c r="D21" s="36" t="s">
        <v>0</v>
      </c>
      <c r="E21" s="36" t="s">
        <v>0</v>
      </c>
      <c r="F21" s="36" t="s">
        <v>0</v>
      </c>
      <c r="G21" s="36" t="s">
        <v>0</v>
      </c>
      <c r="H21" s="11"/>
      <c r="I21" s="11"/>
      <c r="J21" s="11"/>
      <c r="K21" s="11"/>
    </row>
    <row r="22" spans="2:11" ht="16.5">
      <c r="B22" s="32"/>
      <c r="C22" s="32"/>
      <c r="D22" s="32"/>
      <c r="E22" s="32"/>
      <c r="F22" s="32"/>
      <c r="G22" s="32"/>
      <c r="H22" s="11"/>
      <c r="I22" s="11"/>
      <c r="J22" s="11"/>
      <c r="K22" s="11"/>
    </row>
    <row r="23" spans="2:11" ht="17.25">
      <c r="B23" s="86" t="s">
        <v>39</v>
      </c>
      <c r="C23" s="126">
        <f>'S&amp;D'!I49</f>
        <v>0.63</v>
      </c>
      <c r="D23" s="126">
        <f>+'Direct NOPAT'!J33</f>
        <v>6.6850000000000007E-2</v>
      </c>
      <c r="E23" s="99" t="s">
        <v>40</v>
      </c>
      <c r="F23" s="126">
        <f>+D23</f>
        <v>6.6850000000000007E-2</v>
      </c>
      <c r="G23" s="127">
        <f>+F23*C23</f>
        <v>4.2115500000000007E-2</v>
      </c>
      <c r="H23" s="11"/>
      <c r="I23" s="11"/>
      <c r="J23" s="11"/>
      <c r="K23" s="11"/>
    </row>
    <row r="24" spans="2:11" ht="17.25">
      <c r="B24" s="86" t="s">
        <v>0</v>
      </c>
      <c r="C24" s="99" t="s">
        <v>0</v>
      </c>
      <c r="D24" s="99" t="s">
        <v>0</v>
      </c>
      <c r="E24" s="99" t="s">
        <v>0</v>
      </c>
      <c r="F24" s="481" t="s">
        <v>0</v>
      </c>
      <c r="G24" s="116" t="s">
        <v>0</v>
      </c>
      <c r="H24" s="11"/>
      <c r="I24" s="11"/>
      <c r="J24" s="11"/>
      <c r="K24" s="11"/>
    </row>
    <row r="25" spans="2:11" ht="17.25">
      <c r="B25" s="86" t="s">
        <v>41</v>
      </c>
      <c r="C25" s="126">
        <f>'S&amp;D'!J49</f>
        <v>0.37</v>
      </c>
      <c r="D25" s="126">
        <f>+Debt!J29</f>
        <v>5.8599999999999999E-2</v>
      </c>
      <c r="E25" s="126">
        <v>0.26</v>
      </c>
      <c r="F25" s="126">
        <f>+D25*(1-E25)</f>
        <v>4.3364E-2</v>
      </c>
      <c r="G25" s="127">
        <f>+C25*F25</f>
        <v>1.6044679999999999E-2</v>
      </c>
      <c r="H25" s="11"/>
      <c r="I25" s="11"/>
      <c r="J25" s="11"/>
      <c r="K25" s="11"/>
    </row>
    <row r="26" spans="2:11" ht="18" thickBot="1">
      <c r="B26" s="93" t="s">
        <v>0</v>
      </c>
      <c r="C26" s="93" t="s">
        <v>0</v>
      </c>
      <c r="D26" s="93" t="s">
        <v>0</v>
      </c>
      <c r="E26" s="93" t="s">
        <v>0</v>
      </c>
      <c r="F26" s="128" t="s">
        <v>0</v>
      </c>
      <c r="G26" s="129" t="s">
        <v>0</v>
      </c>
      <c r="H26" s="11"/>
      <c r="I26" s="11"/>
      <c r="J26" s="11"/>
      <c r="K26" s="11"/>
    </row>
    <row r="27" spans="2:11" ht="17.25">
      <c r="B27" s="86" t="s">
        <v>42</v>
      </c>
      <c r="C27" s="130">
        <f>+C23+C25</f>
        <v>1</v>
      </c>
      <c r="D27" s="86" t="s">
        <v>0</v>
      </c>
      <c r="E27" s="86" t="s">
        <v>0</v>
      </c>
      <c r="F27" s="131" t="s">
        <v>0</v>
      </c>
      <c r="G27" s="127">
        <f>+G23+G25</f>
        <v>5.8160180000000006E-2</v>
      </c>
      <c r="H27" s="11"/>
      <c r="I27" s="11"/>
      <c r="J27" s="11"/>
      <c r="K27" s="11"/>
    </row>
    <row r="28" spans="2:11" ht="18" thickBot="1">
      <c r="B28" s="59"/>
      <c r="C28" s="59"/>
      <c r="D28" s="59"/>
      <c r="E28" s="59"/>
      <c r="F28" s="59"/>
      <c r="G28" s="132"/>
      <c r="H28" s="11"/>
      <c r="I28" s="11"/>
      <c r="J28" s="11"/>
      <c r="K28" s="11"/>
    </row>
    <row r="29" spans="2:11" ht="18" thickBot="1">
      <c r="B29" s="11"/>
      <c r="C29" s="11"/>
      <c r="D29" s="11"/>
      <c r="E29" s="11"/>
      <c r="F29" s="179" t="s">
        <v>73</v>
      </c>
      <c r="G29" s="274">
        <v>5.8200000000000002E-2</v>
      </c>
      <c r="H29" s="11"/>
      <c r="I29" s="11"/>
      <c r="J29" s="11"/>
      <c r="K29" s="11"/>
    </row>
    <row r="30" spans="2:11" ht="18" thickBot="1">
      <c r="B30" s="11"/>
      <c r="C30" s="11"/>
      <c r="D30" s="11"/>
      <c r="E30" s="11"/>
      <c r="F30" s="131"/>
      <c r="G30" s="127"/>
      <c r="H30" s="11"/>
      <c r="I30" s="11"/>
      <c r="J30" s="11"/>
      <c r="K30" s="11"/>
    </row>
    <row r="31" spans="2:11" ht="18" thickBot="1">
      <c r="B31" s="11"/>
      <c r="C31" s="11"/>
      <c r="D31" s="11"/>
      <c r="E31" s="11"/>
      <c r="F31" s="179" t="s">
        <v>222</v>
      </c>
      <c r="G31" s="209">
        <f>1/G29</f>
        <v>17.182130584192439</v>
      </c>
      <c r="H31" s="11"/>
      <c r="I31" s="11"/>
      <c r="J31" s="11"/>
      <c r="K31" s="11"/>
    </row>
    <row r="32" spans="2:11" ht="17.25">
      <c r="B32" s="11"/>
      <c r="C32" s="11"/>
      <c r="D32" s="11"/>
      <c r="E32" s="11"/>
      <c r="F32" s="131"/>
      <c r="G32" s="127"/>
      <c r="H32" s="11"/>
      <c r="I32" s="11"/>
      <c r="J32" s="11"/>
      <c r="K32" s="11"/>
    </row>
    <row r="33" spans="1:11" ht="17.25">
      <c r="B33" s="11"/>
      <c r="C33" s="11"/>
      <c r="D33" s="11"/>
      <c r="E33" s="11"/>
      <c r="F33" s="131"/>
      <c r="G33" s="127"/>
      <c r="H33" s="11"/>
      <c r="I33" s="11"/>
      <c r="J33" s="11"/>
      <c r="K33" s="11"/>
    </row>
    <row r="34" spans="1:11" ht="26.25">
      <c r="A34" s="22" t="s">
        <v>1</v>
      </c>
      <c r="C34" s="11"/>
      <c r="D34" s="11"/>
      <c r="E34" s="11"/>
      <c r="F34" s="131"/>
      <c r="G34" s="127"/>
      <c r="H34" s="11"/>
      <c r="I34" s="11"/>
      <c r="J34" s="11"/>
      <c r="K34" s="11"/>
    </row>
    <row r="35" spans="1:11" ht="17.25">
      <c r="A35" s="23" t="s">
        <v>9</v>
      </c>
      <c r="C35" s="11"/>
      <c r="D35" s="11"/>
      <c r="E35" s="11"/>
      <c r="F35" s="131"/>
      <c r="G35" s="127"/>
      <c r="H35" s="11"/>
      <c r="I35" s="11"/>
      <c r="J35" s="11"/>
      <c r="K35" s="11"/>
    </row>
    <row r="36" spans="1:11" ht="17.25">
      <c r="A36" s="24" t="s">
        <v>465</v>
      </c>
      <c r="C36" s="11"/>
      <c r="D36" s="11"/>
      <c r="E36" s="11"/>
      <c r="F36" s="131"/>
      <c r="G36" s="127"/>
      <c r="H36" s="11"/>
      <c r="I36" s="11"/>
      <c r="J36" s="11"/>
      <c r="K36" s="11"/>
    </row>
    <row r="37" spans="1:11" ht="17.25">
      <c r="A37" s="24"/>
      <c r="C37" s="11"/>
      <c r="D37" s="11"/>
      <c r="E37" s="11"/>
      <c r="F37" s="131"/>
      <c r="G37" s="127"/>
      <c r="H37" s="11"/>
      <c r="I37" s="11"/>
      <c r="J37" s="11"/>
      <c r="K37" s="11"/>
    </row>
    <row r="38" spans="1:11" ht="17.25">
      <c r="A38" s="24"/>
      <c r="C38" s="11"/>
      <c r="D38" s="11"/>
      <c r="E38" s="11"/>
      <c r="F38" s="131"/>
      <c r="G38" s="127"/>
      <c r="H38" s="11"/>
      <c r="I38" s="11"/>
      <c r="J38" s="11"/>
      <c r="K38" s="11"/>
    </row>
    <row r="39" spans="1:11" ht="17.25">
      <c r="A39" s="24"/>
      <c r="C39" s="11"/>
      <c r="D39" s="11"/>
      <c r="E39" s="11"/>
      <c r="F39" s="131"/>
      <c r="G39" s="127"/>
      <c r="H39" s="11"/>
      <c r="I39" s="11"/>
      <c r="J39" s="11"/>
      <c r="K39" s="11"/>
    </row>
    <row r="40" spans="1:11" ht="17.25">
      <c r="A40" s="24"/>
      <c r="C40" s="11"/>
      <c r="D40" s="11"/>
      <c r="E40" s="11"/>
      <c r="F40" s="131"/>
      <c r="G40" s="127"/>
      <c r="H40" s="11"/>
      <c r="I40" s="11"/>
      <c r="J40" s="11"/>
      <c r="K40" s="11"/>
    </row>
    <row r="41" spans="1:11" ht="17.25">
      <c r="A41" s="24"/>
      <c r="C41" s="11"/>
      <c r="D41" s="11"/>
      <c r="E41" s="11"/>
      <c r="F41" s="131"/>
      <c r="G41" s="127"/>
      <c r="H41" s="11"/>
      <c r="I41" s="11"/>
      <c r="J41" s="11"/>
      <c r="K41" s="11"/>
    </row>
    <row r="42" spans="1:11" ht="17.25">
      <c r="A42" s="24"/>
      <c r="C42" s="11"/>
      <c r="D42" s="11"/>
      <c r="E42" s="11"/>
      <c r="F42" s="131"/>
      <c r="G42" s="127"/>
      <c r="H42" s="11"/>
      <c r="I42" s="11"/>
      <c r="J42" s="11"/>
      <c r="K42" s="11"/>
    </row>
    <row r="43" spans="1:11" ht="17.25">
      <c r="A43" s="24"/>
      <c r="C43" s="11"/>
      <c r="D43" s="11"/>
      <c r="E43" s="11"/>
      <c r="F43" s="131"/>
      <c r="G43" s="127"/>
      <c r="H43" s="11"/>
      <c r="I43" s="11"/>
      <c r="J43" s="11"/>
      <c r="K43" s="11"/>
    </row>
    <row r="44" spans="1:11" ht="20.25">
      <c r="A44" s="24"/>
      <c r="C44" s="11"/>
      <c r="D44" s="74" t="s">
        <v>62</v>
      </c>
      <c r="E44" s="11"/>
      <c r="F44" s="131"/>
      <c r="G44" s="127"/>
      <c r="H44" s="11"/>
      <c r="I44" s="11"/>
      <c r="J44" s="11"/>
      <c r="K44" s="11"/>
    </row>
    <row r="45" spans="1:11" ht="20.25">
      <c r="A45" s="24"/>
      <c r="C45" s="11"/>
      <c r="D45" s="74"/>
      <c r="E45" s="11"/>
      <c r="F45" s="131"/>
      <c r="G45" s="127"/>
      <c r="H45" s="11"/>
      <c r="I45" s="11"/>
      <c r="J45" s="11"/>
      <c r="K45" s="11"/>
    </row>
    <row r="46" spans="1:11" ht="20.25">
      <c r="A46" s="24"/>
      <c r="C46" s="11"/>
      <c r="D46" s="74"/>
      <c r="E46" s="11"/>
      <c r="F46" s="131"/>
      <c r="G46" s="127"/>
      <c r="H46" s="11"/>
      <c r="I46" s="11"/>
      <c r="J46" s="11"/>
      <c r="K46" s="11"/>
    </row>
    <row r="47" spans="1:11" ht="17.25" thickBot="1">
      <c r="B47" s="11"/>
      <c r="C47" s="27"/>
      <c r="D47" s="27"/>
      <c r="E47" s="27"/>
      <c r="F47" s="11"/>
      <c r="G47" s="11"/>
      <c r="H47" s="11"/>
      <c r="I47" s="11"/>
      <c r="J47" s="11"/>
      <c r="K47" s="11"/>
    </row>
    <row r="48" spans="1:11" ht="26.25">
      <c r="B48" s="11"/>
      <c r="C48" s="11"/>
      <c r="D48" s="29" t="str">
        <f>+'S&amp;D'!A12</f>
        <v>Natural Gas Transmission Pipeline Carrier</v>
      </c>
      <c r="E48" s="11"/>
      <c r="F48" s="11"/>
      <c r="G48" s="11"/>
      <c r="H48" s="11"/>
      <c r="I48" s="11"/>
      <c r="J48" s="11"/>
      <c r="K48" s="11"/>
    </row>
    <row r="49" spans="2:11" ht="21" thickBot="1">
      <c r="B49" s="11"/>
      <c r="C49" s="27"/>
      <c r="D49" s="125" t="s">
        <v>64</v>
      </c>
      <c r="E49" s="27"/>
      <c r="F49" s="11"/>
      <c r="G49" s="11"/>
      <c r="H49" s="11"/>
      <c r="I49" s="11"/>
      <c r="J49" s="11"/>
      <c r="K49" s="11"/>
    </row>
    <row r="50" spans="2:11" ht="16.5"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2:11" ht="17.25" thickBot="1">
      <c r="B51" s="27"/>
      <c r="C51" s="27"/>
      <c r="D51" s="34" t="s">
        <v>0</v>
      </c>
      <c r="E51" s="27"/>
      <c r="F51" s="27"/>
      <c r="G51" s="27"/>
      <c r="H51" s="11"/>
      <c r="I51" s="11"/>
      <c r="J51" s="11"/>
      <c r="K51" s="11"/>
    </row>
    <row r="52" spans="2:11" ht="16.5">
      <c r="B52" s="32" t="s">
        <v>31</v>
      </c>
      <c r="C52" s="32" t="s">
        <v>32</v>
      </c>
      <c r="D52" s="32" t="s">
        <v>66</v>
      </c>
      <c r="E52" s="32" t="s">
        <v>67</v>
      </c>
      <c r="F52" s="32" t="s">
        <v>65</v>
      </c>
      <c r="G52" s="32" t="s">
        <v>34</v>
      </c>
      <c r="H52" s="11"/>
      <c r="I52" s="11"/>
      <c r="J52" s="11"/>
      <c r="K52" s="11"/>
    </row>
    <row r="53" spans="2:11" ht="17.25" thickBot="1">
      <c r="B53" s="34" t="s">
        <v>32</v>
      </c>
      <c r="C53" s="34" t="s">
        <v>35</v>
      </c>
      <c r="D53" s="34" t="s">
        <v>36</v>
      </c>
      <c r="E53" s="34" t="s">
        <v>23</v>
      </c>
      <c r="F53" s="34" t="s">
        <v>37</v>
      </c>
      <c r="G53" s="34" t="s">
        <v>68</v>
      </c>
      <c r="H53" s="11"/>
      <c r="I53" s="11"/>
      <c r="J53" s="11"/>
      <c r="K53" s="11"/>
    </row>
    <row r="54" spans="2:11" ht="16.5">
      <c r="B54" s="36" t="s">
        <v>0</v>
      </c>
      <c r="C54" s="36" t="s">
        <v>0</v>
      </c>
      <c r="D54" s="36" t="s">
        <v>0</v>
      </c>
      <c r="E54" s="36" t="s">
        <v>0</v>
      </c>
      <c r="F54" s="36" t="s">
        <v>0</v>
      </c>
      <c r="G54" s="36" t="s">
        <v>0</v>
      </c>
      <c r="H54" s="11"/>
      <c r="I54" s="11"/>
      <c r="J54" s="11"/>
      <c r="K54" s="11"/>
    </row>
    <row r="55" spans="2:11" ht="16.5">
      <c r="B55" s="32"/>
      <c r="C55" s="32"/>
      <c r="D55" s="32"/>
      <c r="E55" s="32"/>
      <c r="F55" s="32"/>
      <c r="G55" s="32"/>
      <c r="H55" s="11"/>
      <c r="I55" s="11"/>
      <c r="J55" s="11"/>
      <c r="K55" s="11"/>
    </row>
    <row r="56" spans="2:11" ht="17.25">
      <c r="B56" s="86" t="s">
        <v>39</v>
      </c>
      <c r="C56" s="126">
        <f>'S&amp;D'!I49</f>
        <v>0.63</v>
      </c>
      <c r="D56" s="126">
        <f>+'Direct GCF'!H32</f>
        <v>0.11360000000000001</v>
      </c>
      <c r="E56" s="99"/>
      <c r="F56" s="126">
        <f>+D56</f>
        <v>0.11360000000000001</v>
      </c>
      <c r="G56" s="127">
        <f>+F56*C56</f>
        <v>7.1568000000000007E-2</v>
      </c>
      <c r="H56" s="11"/>
      <c r="I56" s="11"/>
      <c r="J56" s="11"/>
      <c r="K56" s="11"/>
    </row>
    <row r="57" spans="2:11" ht="17.25">
      <c r="B57" s="86" t="s">
        <v>0</v>
      </c>
      <c r="C57" s="99" t="s">
        <v>0</v>
      </c>
      <c r="D57" s="99" t="s">
        <v>0</v>
      </c>
      <c r="E57" s="99"/>
      <c r="F57" s="481" t="s">
        <v>0</v>
      </c>
      <c r="G57" s="116" t="s">
        <v>0</v>
      </c>
      <c r="H57" s="11"/>
      <c r="I57" s="11"/>
      <c r="J57" s="11"/>
      <c r="K57" s="11"/>
    </row>
    <row r="58" spans="2:11" ht="17.25">
      <c r="B58" s="86" t="s">
        <v>41</v>
      </c>
      <c r="C58" s="126">
        <f>'S&amp;D'!J49</f>
        <v>0.37</v>
      </c>
      <c r="D58" s="126">
        <f>+Debt!J29</f>
        <v>5.8599999999999999E-2</v>
      </c>
      <c r="E58" s="126">
        <v>0.26</v>
      </c>
      <c r="F58" s="126">
        <f>+D58*(1-E58)</f>
        <v>4.3364E-2</v>
      </c>
      <c r="G58" s="127">
        <f>+C58*F58</f>
        <v>1.6044679999999999E-2</v>
      </c>
      <c r="H58" s="11"/>
      <c r="I58" s="11"/>
      <c r="J58" s="11"/>
      <c r="K58" s="11"/>
    </row>
    <row r="59" spans="2:11" ht="18" thickBot="1">
      <c r="B59" s="93" t="s">
        <v>0</v>
      </c>
      <c r="C59" s="93" t="s">
        <v>0</v>
      </c>
      <c r="D59" s="93" t="s">
        <v>0</v>
      </c>
      <c r="E59" s="93" t="s">
        <v>0</v>
      </c>
      <c r="F59" s="128" t="s">
        <v>0</v>
      </c>
      <c r="G59" s="129" t="s">
        <v>0</v>
      </c>
      <c r="H59" s="11"/>
      <c r="I59" s="11"/>
      <c r="J59" s="11"/>
      <c r="K59" s="11"/>
    </row>
    <row r="60" spans="2:11" ht="17.25">
      <c r="B60" s="86" t="s">
        <v>42</v>
      </c>
      <c r="C60" s="130">
        <f>+C56+C58</f>
        <v>1</v>
      </c>
      <c r="D60" s="86" t="s">
        <v>0</v>
      </c>
      <c r="E60" s="86" t="s">
        <v>0</v>
      </c>
      <c r="F60" s="131" t="s">
        <v>0</v>
      </c>
      <c r="G60" s="127">
        <f>+G56+G58</f>
        <v>8.7612679999999998E-2</v>
      </c>
      <c r="H60" s="11"/>
      <c r="I60" s="11"/>
      <c r="J60" s="11"/>
      <c r="K60" s="11"/>
    </row>
    <row r="61" spans="2:11" ht="18" thickBot="1">
      <c r="B61" s="59"/>
      <c r="C61" s="59"/>
      <c r="D61" s="59"/>
      <c r="E61" s="59"/>
      <c r="F61" s="59"/>
      <c r="G61" s="132"/>
      <c r="H61" s="11"/>
      <c r="I61" s="11"/>
      <c r="J61" s="11"/>
      <c r="K61" s="11"/>
    </row>
    <row r="62" spans="2:11" ht="18" thickBot="1">
      <c r="B62" s="11"/>
      <c r="C62" s="11"/>
      <c r="D62" s="11"/>
      <c r="E62" s="11"/>
      <c r="F62" s="179" t="s">
        <v>73</v>
      </c>
      <c r="G62" s="274">
        <v>8.7599999999999997E-2</v>
      </c>
      <c r="H62" s="11"/>
      <c r="I62" s="11"/>
      <c r="J62" s="11"/>
      <c r="K62" s="11"/>
    </row>
    <row r="63" spans="2:11" ht="15.75" thickBot="1"/>
    <row r="64" spans="2:11" ht="18" thickBot="1">
      <c r="F64" s="179" t="s">
        <v>222</v>
      </c>
      <c r="G64" s="209">
        <f>1/G62</f>
        <v>11.415525114155251</v>
      </c>
    </row>
  </sheetData>
  <pageMargins left="0.25" right="0.25" top="0.75" bottom="0.75" header="0.3" footer="0.3"/>
  <pageSetup scale="72" fitToHeight="0" orientation="landscape" r:id="rId1"/>
  <rowBreaks count="1" manualBreakCount="1">
    <brk id="3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73"/>
  <sheetViews>
    <sheetView view="pageBreakPreview" zoomScale="60" zoomScaleNormal="80" zoomScalePageLayoutView="70" workbookViewId="0">
      <pane xSplit="1" topLeftCell="B1" activePane="topRight" state="frozen"/>
      <selection pane="topRight" activeCell="A73" activeCellId="1" sqref="F4:F5 A73"/>
    </sheetView>
  </sheetViews>
  <sheetFormatPr defaultRowHeight="15"/>
  <cols>
    <col min="1" max="1" width="63" customWidth="1"/>
    <col min="2" max="2" width="11.5703125" bestFit="1" customWidth="1"/>
    <col min="3" max="3" width="26.5703125" customWidth="1"/>
    <col min="4" max="4" width="25.5703125" bestFit="1" customWidth="1"/>
    <col min="5" max="5" width="28" customWidth="1"/>
    <col min="6" max="7" width="29.140625" customWidth="1"/>
    <col min="8" max="8" width="31.85546875" customWidth="1"/>
    <col min="9" max="9" width="32.28515625" customWidth="1"/>
    <col min="10" max="10" width="30.85546875" customWidth="1"/>
    <col min="11" max="11" width="12.85546875" customWidth="1"/>
    <col min="12" max="12" width="25.85546875" bestFit="1" customWidth="1"/>
    <col min="13" max="13" width="30.140625" bestFit="1" customWidth="1"/>
    <col min="14" max="14" width="9.140625" customWidth="1"/>
  </cols>
  <sheetData>
    <row r="1" spans="1:12" ht="26.25">
      <c r="A1" s="22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17.25">
      <c r="A2" s="23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2" ht="16.5">
      <c r="A3" s="24" t="s">
        <v>465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2" ht="16.5">
      <c r="A4" s="24"/>
      <c r="B4" s="11"/>
      <c r="C4" s="11"/>
      <c r="D4" s="11"/>
      <c r="E4" s="11"/>
      <c r="F4" s="483" t="s">
        <v>0</v>
      </c>
      <c r="G4" s="11"/>
      <c r="H4" s="11"/>
      <c r="I4" s="11"/>
      <c r="J4" s="11"/>
      <c r="K4" s="11"/>
    </row>
    <row r="5" spans="1:12" ht="16.5">
      <c r="B5" s="11"/>
      <c r="C5" s="11"/>
      <c r="D5" s="11"/>
      <c r="E5" s="25"/>
      <c r="F5" s="483" t="s">
        <v>0</v>
      </c>
      <c r="G5" s="11"/>
      <c r="H5" s="11"/>
      <c r="I5" s="11"/>
      <c r="J5" s="11"/>
      <c r="K5" s="11" t="s">
        <v>0</v>
      </c>
    </row>
    <row r="6" spans="1:12" ht="16.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2" ht="16.5">
      <c r="A7" s="11" t="s">
        <v>483</v>
      </c>
      <c r="B7" s="32"/>
      <c r="C7" s="32">
        <f>1-0.3725</f>
        <v>0.62749999999999995</v>
      </c>
      <c r="D7" s="32"/>
      <c r="E7" s="32"/>
      <c r="F7" s="32"/>
      <c r="G7" s="13"/>
      <c r="H7" s="41"/>
      <c r="I7" s="41"/>
      <c r="J7" s="81"/>
      <c r="K7" s="81"/>
      <c r="L7" s="3"/>
    </row>
    <row r="8" spans="1:12" ht="16.5">
      <c r="A8" s="82"/>
      <c r="B8" s="32"/>
      <c r="C8" s="32"/>
      <c r="D8" s="32"/>
      <c r="E8" s="32"/>
      <c r="F8" s="32"/>
      <c r="G8" s="13"/>
      <c r="H8" s="41"/>
      <c r="I8" s="41"/>
      <c r="J8" s="81"/>
      <c r="K8" s="81"/>
      <c r="L8" s="3"/>
    </row>
    <row r="9" spans="1:12" ht="16.5">
      <c r="A9" s="82"/>
      <c r="B9" s="32"/>
      <c r="C9" s="32"/>
      <c r="D9" s="32"/>
      <c r="E9" s="32"/>
      <c r="F9" s="32"/>
      <c r="G9" s="13"/>
      <c r="H9" s="41"/>
      <c r="I9" s="41"/>
      <c r="J9" s="81"/>
      <c r="K9" s="81"/>
      <c r="L9" s="3"/>
    </row>
    <row r="10" spans="1:12" ht="16.5">
      <c r="A10" s="41"/>
      <c r="D10" s="41"/>
      <c r="E10" s="41"/>
      <c r="F10" s="41"/>
      <c r="G10" s="41"/>
      <c r="H10" s="41"/>
      <c r="I10" s="41"/>
      <c r="J10" s="41"/>
      <c r="K10" s="41"/>
      <c r="L10" s="2"/>
    </row>
    <row r="11" spans="1:12" ht="17.25" thickBot="1">
      <c r="A11" s="41"/>
      <c r="D11" s="41"/>
      <c r="E11" s="83"/>
      <c r="F11" s="27"/>
      <c r="G11" s="83"/>
      <c r="H11" s="41"/>
      <c r="I11" s="41"/>
      <c r="J11" s="41"/>
      <c r="K11" s="41"/>
      <c r="L11" s="2"/>
    </row>
    <row r="12" spans="1:12" ht="27" thickBot="1">
      <c r="A12" s="26" t="s">
        <v>393</v>
      </c>
      <c r="D12" s="41"/>
      <c r="E12" s="41"/>
      <c r="F12" s="29" t="s">
        <v>74</v>
      </c>
      <c r="G12" s="41"/>
      <c r="H12" s="41"/>
      <c r="I12" s="41"/>
      <c r="J12" s="41"/>
      <c r="K12" s="11"/>
    </row>
    <row r="13" spans="1:12" ht="21" thickBot="1">
      <c r="A13" s="28"/>
      <c r="D13" s="41"/>
      <c r="E13" s="83"/>
      <c r="F13" s="34" t="s">
        <v>477</v>
      </c>
      <c r="G13" s="83"/>
      <c r="H13" s="41"/>
      <c r="I13" s="41" t="s">
        <v>0</v>
      </c>
      <c r="J13" s="41"/>
      <c r="K13" s="11"/>
    </row>
    <row r="14" spans="1:12" ht="20.25">
      <c r="A14" s="28"/>
      <c r="B14" s="41"/>
      <c r="C14" s="41"/>
      <c r="D14" s="41"/>
      <c r="E14" s="41"/>
      <c r="F14" s="12" t="s">
        <v>0</v>
      </c>
      <c r="G14" s="41"/>
      <c r="H14" s="41"/>
      <c r="I14" s="41"/>
      <c r="J14" s="41"/>
      <c r="K14" s="11"/>
    </row>
    <row r="15" spans="1:12" ht="17.25" thickBot="1">
      <c r="A15" s="39" t="s">
        <v>0</v>
      </c>
      <c r="B15" s="39" t="s">
        <v>0</v>
      </c>
      <c r="C15" s="39" t="s">
        <v>0</v>
      </c>
      <c r="D15" s="39"/>
      <c r="E15" s="39"/>
      <c r="F15" s="39"/>
      <c r="G15" s="39" t="s">
        <v>0</v>
      </c>
      <c r="H15" s="83"/>
      <c r="I15" s="83"/>
      <c r="J15" s="83"/>
      <c r="K15" s="11"/>
    </row>
    <row r="16" spans="1:12" ht="17.25">
      <c r="A16" s="225"/>
      <c r="B16" s="226"/>
      <c r="C16" s="241"/>
      <c r="D16" s="210" t="s">
        <v>13</v>
      </c>
      <c r="E16" s="238" t="s">
        <v>13</v>
      </c>
      <c r="F16" s="210" t="s">
        <v>13</v>
      </c>
      <c r="G16" s="227" t="s">
        <v>231</v>
      </c>
      <c r="H16" s="379" t="s">
        <v>478</v>
      </c>
      <c r="I16" s="88" t="s">
        <v>478</v>
      </c>
      <c r="J16" s="379" t="s">
        <v>478</v>
      </c>
      <c r="K16" s="11"/>
    </row>
    <row r="17" spans="1:14" ht="17.25">
      <c r="A17" s="84" t="s">
        <v>0</v>
      </c>
      <c r="B17" s="85" t="s">
        <v>3</v>
      </c>
      <c r="C17" s="213" t="s">
        <v>5</v>
      </c>
      <c r="D17" s="87" t="s">
        <v>10</v>
      </c>
      <c r="E17" s="239" t="s">
        <v>10</v>
      </c>
      <c r="F17" s="87" t="s">
        <v>19</v>
      </c>
      <c r="G17" s="88" t="s">
        <v>478</v>
      </c>
      <c r="H17" s="85" t="s">
        <v>12</v>
      </c>
      <c r="I17" s="230" t="s">
        <v>11</v>
      </c>
      <c r="J17" s="90" t="s">
        <v>142</v>
      </c>
      <c r="K17" s="11"/>
    </row>
    <row r="18" spans="1:14" ht="17.25">
      <c r="A18" s="84" t="s">
        <v>2</v>
      </c>
      <c r="B18" s="85" t="s">
        <v>4</v>
      </c>
      <c r="C18" s="213" t="s">
        <v>6</v>
      </c>
      <c r="D18" s="87" t="s">
        <v>45</v>
      </c>
      <c r="E18" s="239" t="s">
        <v>46</v>
      </c>
      <c r="F18" s="87" t="s">
        <v>10</v>
      </c>
      <c r="G18" s="88" t="s">
        <v>10</v>
      </c>
      <c r="H18" s="85" t="s">
        <v>72</v>
      </c>
      <c r="I18" s="230" t="s">
        <v>351</v>
      </c>
      <c r="J18" s="90" t="s">
        <v>232</v>
      </c>
      <c r="K18" s="11" t="s">
        <v>0</v>
      </c>
    </row>
    <row r="19" spans="1:14" ht="18" thickBot="1">
      <c r="A19" s="91" t="s">
        <v>0</v>
      </c>
      <c r="B19" s="92" t="s">
        <v>0</v>
      </c>
      <c r="C19" s="107" t="s">
        <v>0</v>
      </c>
      <c r="D19" s="319" t="s">
        <v>381</v>
      </c>
      <c r="E19" s="319" t="s">
        <v>381</v>
      </c>
      <c r="F19" s="319" t="s">
        <v>381</v>
      </c>
      <c r="G19" s="376" t="s">
        <v>381</v>
      </c>
      <c r="H19" s="94" t="s">
        <v>61</v>
      </c>
      <c r="I19" s="95" t="s">
        <v>60</v>
      </c>
      <c r="J19" s="94" t="s">
        <v>60</v>
      </c>
      <c r="K19" s="11"/>
    </row>
    <row r="20" spans="1:14" ht="16.5">
      <c r="A20" s="242" t="s">
        <v>7</v>
      </c>
      <c r="B20" s="264" t="s">
        <v>7</v>
      </c>
      <c r="C20" s="242" t="s">
        <v>7</v>
      </c>
      <c r="D20" s="271" t="s">
        <v>7</v>
      </c>
      <c r="E20" s="271" t="s">
        <v>7</v>
      </c>
      <c r="F20" s="40" t="s">
        <v>15</v>
      </c>
      <c r="G20" s="263" t="s">
        <v>7</v>
      </c>
      <c r="H20" s="242" t="s">
        <v>8</v>
      </c>
      <c r="I20" s="264" t="s">
        <v>8</v>
      </c>
      <c r="J20" s="242" t="s">
        <v>8</v>
      </c>
      <c r="K20" s="11"/>
    </row>
    <row r="21" spans="1:14" ht="17.25">
      <c r="A21" s="85"/>
      <c r="B21" s="86"/>
      <c r="C21" s="85"/>
      <c r="D21" s="213"/>
      <c r="E21" s="86"/>
      <c r="F21" s="84"/>
      <c r="G21" s="84"/>
      <c r="H21" s="85"/>
      <c r="I21" s="59"/>
      <c r="J21" s="97"/>
      <c r="K21" s="11"/>
    </row>
    <row r="22" spans="1:14" ht="17.25">
      <c r="A22" s="310" t="s">
        <v>363</v>
      </c>
      <c r="B22" s="76" t="s">
        <v>364</v>
      </c>
      <c r="C22" s="85" t="s">
        <v>365</v>
      </c>
      <c r="D22" s="100">
        <v>70.010000000000005</v>
      </c>
      <c r="E22" s="100">
        <v>63.67</v>
      </c>
      <c r="F22" s="100">
        <f t="shared" ref="F22:F26" si="0">AVERAGE(D22,E22)</f>
        <v>66.84</v>
      </c>
      <c r="G22" s="377">
        <v>65.680000000000007</v>
      </c>
      <c r="H22" s="296">
        <v>2182000000</v>
      </c>
      <c r="I22" s="101">
        <f>6818000000*0.6275</f>
        <v>4278294999.9999995</v>
      </c>
      <c r="J22" s="296">
        <f>(5031000000+98963000000)*0.6275</f>
        <v>65256234999.999992</v>
      </c>
      <c r="K22" s="11" t="s">
        <v>484</v>
      </c>
      <c r="N22" s="176"/>
    </row>
    <row r="23" spans="1:14" ht="17.25">
      <c r="A23" s="132" t="s">
        <v>346</v>
      </c>
      <c r="B23" s="456" t="s">
        <v>347</v>
      </c>
      <c r="C23" s="85" t="s">
        <v>345</v>
      </c>
      <c r="D23" s="56">
        <v>17.11</v>
      </c>
      <c r="E23" s="100">
        <v>16.18</v>
      </c>
      <c r="F23" s="56">
        <f t="shared" si="0"/>
        <v>16.645</v>
      </c>
      <c r="G23" s="377">
        <v>16.489999999999998</v>
      </c>
      <c r="H23" s="296">
        <v>3439986779</v>
      </c>
      <c r="I23" s="101">
        <f>3356000000</f>
        <v>3356000000</v>
      </c>
      <c r="J23" s="296">
        <f>(25000000+68308000000)</f>
        <v>68333000000</v>
      </c>
      <c r="M23" s="11"/>
    </row>
    <row r="24" spans="1:14" ht="17.25">
      <c r="A24" s="310" t="s">
        <v>348</v>
      </c>
      <c r="B24" s="89" t="s">
        <v>349</v>
      </c>
      <c r="C24" s="85" t="s">
        <v>345</v>
      </c>
      <c r="D24" s="100">
        <v>32.950000000000003</v>
      </c>
      <c r="E24" s="100">
        <v>30.01</v>
      </c>
      <c r="F24" s="100">
        <f>AVERAGE(D24,E24)</f>
        <v>31.480000000000004</v>
      </c>
      <c r="G24" s="377">
        <v>32.06</v>
      </c>
      <c r="H24" s="380">
        <v>2161760683</v>
      </c>
      <c r="I24" s="101">
        <v>44000000</v>
      </c>
      <c r="J24" s="381">
        <f>32770000000+1625000000</f>
        <v>34395000000</v>
      </c>
      <c r="M24" s="11"/>
    </row>
    <row r="25" spans="1:14" ht="17.25">
      <c r="A25" s="310" t="s">
        <v>366</v>
      </c>
      <c r="B25" s="89" t="s">
        <v>367</v>
      </c>
      <c r="C25" s="85" t="s">
        <v>365</v>
      </c>
      <c r="D25" s="100">
        <v>28.62</v>
      </c>
      <c r="E25" s="455">
        <v>25.6</v>
      </c>
      <c r="F25" s="100">
        <f>AVERAGE(D25,E25)</f>
        <v>27.11</v>
      </c>
      <c r="G25" s="377">
        <v>27.49</v>
      </c>
      <c r="H25" s="296">
        <v>2224777750</v>
      </c>
      <c r="I25" s="101"/>
      <c r="J25" s="296">
        <f>1408000000+30777000000</f>
        <v>32185000000</v>
      </c>
      <c r="M25" s="11"/>
      <c r="N25" t="s">
        <v>0</v>
      </c>
    </row>
    <row r="26" spans="1:14" ht="17.25">
      <c r="A26" s="310" t="s">
        <v>368</v>
      </c>
      <c r="B26" s="89" t="s">
        <v>369</v>
      </c>
      <c r="C26" s="85" t="s">
        <v>365</v>
      </c>
      <c r="D26" s="100">
        <v>76.19</v>
      </c>
      <c r="E26" s="100">
        <v>64.02</v>
      </c>
      <c r="F26" s="100">
        <f t="shared" si="0"/>
        <v>70.10499999999999</v>
      </c>
      <c r="G26" s="377">
        <v>73.5</v>
      </c>
      <c r="H26" s="296">
        <v>629707691</v>
      </c>
      <c r="I26" s="101"/>
      <c r="J26" s="296">
        <f>30755000000+1241000000</f>
        <v>31996000000</v>
      </c>
      <c r="M26" s="11"/>
      <c r="N26" t="s">
        <v>0</v>
      </c>
    </row>
    <row r="27" spans="1:14" ht="17.25">
      <c r="A27" s="310" t="s">
        <v>370</v>
      </c>
      <c r="B27" s="89" t="s">
        <v>371</v>
      </c>
      <c r="C27" s="85" t="s">
        <v>365</v>
      </c>
      <c r="D27" s="100">
        <v>56.34</v>
      </c>
      <c r="E27" s="100">
        <v>49.27</v>
      </c>
      <c r="F27" s="100">
        <f>AVERAGE(D27,E27)</f>
        <v>52.805000000000007</v>
      </c>
      <c r="G27" s="377">
        <v>55.01</v>
      </c>
      <c r="H27" s="296">
        <v>1041000000</v>
      </c>
      <c r="I27" s="101">
        <f>2255000000*0.6275</f>
        <v>1415012499.9999998</v>
      </c>
      <c r="J27" s="296">
        <f>(1545000000+45247000000)*0.6275</f>
        <v>29361979999.999996</v>
      </c>
      <c r="K27" s="11" t="s">
        <v>484</v>
      </c>
      <c r="M27" s="11"/>
      <c r="N27" s="176"/>
    </row>
    <row r="28" spans="1:14" ht="18" thickBot="1">
      <c r="A28" s="311" t="s">
        <v>372</v>
      </c>
      <c r="B28" s="312" t="s">
        <v>373</v>
      </c>
      <c r="C28" s="92" t="s">
        <v>365</v>
      </c>
      <c r="D28" s="317">
        <v>65.16</v>
      </c>
      <c r="E28" s="317">
        <v>56.19</v>
      </c>
      <c r="F28" s="317">
        <f>AVERAGE(D28,E29)</f>
        <v>65.16</v>
      </c>
      <c r="G28" s="378">
        <v>60.11</v>
      </c>
      <c r="H28" s="295">
        <f>1261000000-39000000</f>
        <v>1222000000</v>
      </c>
      <c r="I28" s="313">
        <f>35000000</f>
        <v>35000000</v>
      </c>
      <c r="J28" s="295">
        <f>27316000000+1345000000</f>
        <v>28661000000</v>
      </c>
      <c r="K28" s="11"/>
      <c r="L28" t="s">
        <v>0</v>
      </c>
    </row>
    <row r="29" spans="1:14" ht="17.25">
      <c r="A29" s="102"/>
      <c r="B29" s="102"/>
      <c r="C29" s="102"/>
      <c r="D29" s="102"/>
      <c r="E29" s="56"/>
      <c r="F29" s="102"/>
      <c r="G29" s="102"/>
      <c r="H29" s="102"/>
      <c r="I29" s="102"/>
      <c r="K29" s="11"/>
      <c r="L29" t="s">
        <v>0</v>
      </c>
    </row>
    <row r="30" spans="1:14" ht="18" thickBot="1">
      <c r="A30" s="482" t="s">
        <v>0</v>
      </c>
      <c r="B30" s="103"/>
      <c r="C30" s="103"/>
      <c r="D30" s="103"/>
      <c r="E30" s="103"/>
      <c r="F30" s="27"/>
      <c r="G30" s="103"/>
      <c r="H30" s="103"/>
      <c r="I30" s="103"/>
      <c r="J30" s="102"/>
      <c r="K30" s="102"/>
      <c r="L30" s="4"/>
    </row>
    <row r="31" spans="1:14" ht="17.25">
      <c r="A31" s="104"/>
      <c r="B31" s="105"/>
      <c r="C31" s="105"/>
      <c r="D31" s="382"/>
      <c r="E31" s="462" t="s">
        <v>0</v>
      </c>
      <c r="F31" s="379" t="s">
        <v>0</v>
      </c>
      <c r="G31" s="140"/>
      <c r="H31" s="382"/>
      <c r="I31" s="382"/>
      <c r="J31" s="382"/>
      <c r="K31" s="102"/>
      <c r="L31" s="4"/>
    </row>
    <row r="32" spans="1:14" ht="17.25">
      <c r="A32" s="84"/>
      <c r="B32" s="86"/>
      <c r="C32" s="86"/>
      <c r="D32" s="383" t="s">
        <v>478</v>
      </c>
      <c r="E32" s="463" t="s">
        <v>478</v>
      </c>
      <c r="F32" s="383" t="s">
        <v>478</v>
      </c>
      <c r="G32" s="457" t="s">
        <v>478</v>
      </c>
      <c r="H32" s="383" t="s">
        <v>478</v>
      </c>
      <c r="I32" s="383" t="s">
        <v>478</v>
      </c>
      <c r="J32" s="383" t="s">
        <v>478</v>
      </c>
      <c r="K32" s="11"/>
      <c r="L32" s="5"/>
    </row>
    <row r="33" spans="1:13" ht="17.25">
      <c r="A33" s="84" t="s">
        <v>0</v>
      </c>
      <c r="B33" s="86" t="s">
        <v>3</v>
      </c>
      <c r="C33" s="86" t="s">
        <v>5</v>
      </c>
      <c r="D33" s="85" t="s">
        <v>12</v>
      </c>
      <c r="E33" s="464" t="s">
        <v>141</v>
      </c>
      <c r="F33" s="90" t="s">
        <v>269</v>
      </c>
      <c r="G33" s="213" t="s">
        <v>199</v>
      </c>
      <c r="H33" s="90" t="s">
        <v>16</v>
      </c>
      <c r="I33" s="90" t="s">
        <v>17</v>
      </c>
      <c r="J33" s="90" t="s">
        <v>51</v>
      </c>
      <c r="K33" s="11"/>
      <c r="L33" s="5"/>
    </row>
    <row r="34" spans="1:13" ht="18" thickBot="1">
      <c r="A34" s="91" t="s">
        <v>2</v>
      </c>
      <c r="B34" s="93" t="s">
        <v>4</v>
      </c>
      <c r="C34" s="93" t="s">
        <v>6</v>
      </c>
      <c r="D34" s="92" t="s">
        <v>14</v>
      </c>
      <c r="E34" s="91" t="s">
        <v>14</v>
      </c>
      <c r="F34" s="92" t="s">
        <v>282</v>
      </c>
      <c r="G34" s="107" t="s">
        <v>14</v>
      </c>
      <c r="H34" s="92" t="s">
        <v>335</v>
      </c>
      <c r="I34" s="92" t="s">
        <v>0</v>
      </c>
      <c r="J34" s="92" t="s">
        <v>336</v>
      </c>
      <c r="K34" s="11"/>
      <c r="L34" s="1"/>
    </row>
    <row r="35" spans="1:13" ht="16.5">
      <c r="A35" s="263" t="s">
        <v>7</v>
      </c>
      <c r="B35" s="264" t="s">
        <v>7</v>
      </c>
      <c r="C35" s="264" t="s">
        <v>7</v>
      </c>
      <c r="D35" s="242" t="s">
        <v>15</v>
      </c>
      <c r="E35" s="263" t="s">
        <v>8</v>
      </c>
      <c r="F35" s="242" t="s">
        <v>8</v>
      </c>
      <c r="G35" s="271" t="s">
        <v>8</v>
      </c>
      <c r="H35" s="242" t="s">
        <v>15</v>
      </c>
      <c r="I35" s="242" t="s">
        <v>15</v>
      </c>
      <c r="J35" s="242" t="s">
        <v>15</v>
      </c>
      <c r="K35" s="11"/>
      <c r="L35" s="5"/>
    </row>
    <row r="36" spans="1:13" ht="17.25">
      <c r="A36" s="84"/>
      <c r="B36" s="86"/>
      <c r="C36" s="86"/>
      <c r="D36" s="386"/>
      <c r="E36" s="174"/>
      <c r="F36" s="386"/>
      <c r="G36" s="175"/>
      <c r="H36" s="97"/>
      <c r="I36" s="97"/>
      <c r="J36" s="97"/>
      <c r="K36" s="11"/>
      <c r="L36" s="4"/>
    </row>
    <row r="37" spans="1:13" ht="17.25">
      <c r="A37" s="98" t="str">
        <f t="shared" ref="A37:C43" si="1">+A22</f>
        <v>Enbridge Inc</v>
      </c>
      <c r="B37" s="86" t="str">
        <f t="shared" si="1"/>
        <v>ENB.TO</v>
      </c>
      <c r="C37" s="86" t="str">
        <f t="shared" si="1"/>
        <v>Oil &amp; Gas Distribution</v>
      </c>
      <c r="D37" s="387">
        <f t="shared" ref="D37:D43" si="2">(+H22)*G22</f>
        <v>143313760000</v>
      </c>
      <c r="E37" s="465">
        <f t="shared" ref="E37:E43" si="3">(1/1)*I22</f>
        <v>4278294999.9999995</v>
      </c>
      <c r="F37" s="387">
        <f>666000000*0.6275</f>
        <v>417914999.99999994</v>
      </c>
      <c r="G37" s="458">
        <f>(102.7/98.9)*J22</f>
        <v>67763552421.638008</v>
      </c>
      <c r="H37" s="296">
        <f>+D37+E37+F37+G37</f>
        <v>215773522421.638</v>
      </c>
      <c r="I37" s="384">
        <f t="shared" ref="I37:I43" si="4">(+D37)/H37</f>
        <v>0.66418603353915651</v>
      </c>
      <c r="J37" s="384">
        <f>(+E37+F37+G37)/H37</f>
        <v>0.33581396646084349</v>
      </c>
      <c r="K37" s="11"/>
      <c r="L37" s="4"/>
      <c r="M37" s="11"/>
    </row>
    <row r="38" spans="1:13" ht="17.25">
      <c r="A38" s="98" t="str">
        <f t="shared" si="1"/>
        <v>Energy Transfer LP</v>
      </c>
      <c r="B38" s="86" t="str">
        <f t="shared" si="1"/>
        <v>ET</v>
      </c>
      <c r="C38" s="86" t="str">
        <f t="shared" si="1"/>
        <v>Pipeline MLPs</v>
      </c>
      <c r="D38" s="387">
        <f t="shared" si="2"/>
        <v>56725381985.709991</v>
      </c>
      <c r="E38" s="465">
        <f t="shared" si="3"/>
        <v>3356000000</v>
      </c>
      <c r="F38" s="387">
        <f>(1515000000+10000000)</f>
        <v>1525000000</v>
      </c>
      <c r="G38" s="458">
        <f>(68.55/68.33)*J23</f>
        <v>68553009659.007759</v>
      </c>
      <c r="H38" s="296">
        <f t="shared" ref="H38:H43" si="5">+D38+E38+F38+G38</f>
        <v>130159391644.71774</v>
      </c>
      <c r="I38" s="384">
        <f t="shared" si="4"/>
        <v>0.43581474428328026</v>
      </c>
      <c r="J38" s="384">
        <f t="shared" ref="J38:J43" si="6">(+E38+F38+G38)/H38</f>
        <v>0.56418525571671974</v>
      </c>
      <c r="K38" s="11"/>
      <c r="L38" s="4"/>
    </row>
    <row r="39" spans="1:13" ht="17.25">
      <c r="A39" s="98" t="str">
        <f t="shared" si="1"/>
        <v>Enterprise Products Partnership LP</v>
      </c>
      <c r="B39" s="86" t="str">
        <f t="shared" si="1"/>
        <v>EPD</v>
      </c>
      <c r="C39" s="86" t="str">
        <f t="shared" si="1"/>
        <v>Pipeline MLPs</v>
      </c>
      <c r="D39" s="387">
        <f t="shared" si="2"/>
        <v>69306047496.980011</v>
      </c>
      <c r="E39" s="465">
        <f t="shared" si="3"/>
        <v>44000000</v>
      </c>
      <c r="F39" s="387">
        <v>105000000</v>
      </c>
      <c r="G39" s="459">
        <f>(32.2/34.1)*J24</f>
        <v>32478563049.853374</v>
      </c>
      <c r="H39" s="296">
        <f t="shared" si="5"/>
        <v>101933610546.83339</v>
      </c>
      <c r="I39" s="384">
        <f t="shared" si="4"/>
        <v>0.67991359400673201</v>
      </c>
      <c r="J39" s="384">
        <f t="shared" si="6"/>
        <v>0.32008640599326799</v>
      </c>
      <c r="K39" s="11"/>
      <c r="L39" s="4"/>
    </row>
    <row r="40" spans="1:13" ht="17.25">
      <c r="A40" s="98" t="str">
        <f t="shared" si="1"/>
        <v>Kinder Morgan Inc</v>
      </c>
      <c r="B40" s="86" t="str">
        <f t="shared" si="1"/>
        <v>KMI</v>
      </c>
      <c r="C40" s="86" t="str">
        <f t="shared" si="1"/>
        <v>Oil &amp; Gas Distribution</v>
      </c>
      <c r="D40" s="387">
        <f t="shared" si="2"/>
        <v>61159140347.5</v>
      </c>
      <c r="E40" s="465">
        <f t="shared" si="3"/>
        <v>0</v>
      </c>
      <c r="F40" s="387">
        <v>216000000</v>
      </c>
      <c r="G40" s="459">
        <f>(31953/31990)*J25</f>
        <v>32147774460.76899</v>
      </c>
      <c r="H40" s="296">
        <f t="shared" si="5"/>
        <v>93522914808.268982</v>
      </c>
      <c r="I40" s="384">
        <f t="shared" si="4"/>
        <v>0.65394818449448622</v>
      </c>
      <c r="J40" s="384">
        <f t="shared" si="6"/>
        <v>0.34605181550551389</v>
      </c>
      <c r="K40" s="11"/>
      <c r="L40" s="4"/>
    </row>
    <row r="41" spans="1:13" ht="17.25">
      <c r="A41" s="98" t="str">
        <f t="shared" si="1"/>
        <v>ONEOK Inc</v>
      </c>
      <c r="B41" s="86" t="str">
        <f t="shared" si="1"/>
        <v>OKE</v>
      </c>
      <c r="C41" s="86" t="str">
        <f t="shared" si="1"/>
        <v>Oil &amp; Gas Distribution</v>
      </c>
      <c r="D41" s="387">
        <f t="shared" si="2"/>
        <v>46283515288.5</v>
      </c>
      <c r="E41" s="465">
        <f t="shared" si="3"/>
        <v>0</v>
      </c>
      <c r="F41" s="387">
        <v>237000000</v>
      </c>
      <c r="G41" s="459">
        <f>(32.7/32)*J26</f>
        <v>32695912500.000004</v>
      </c>
      <c r="H41" s="296">
        <f t="shared" si="5"/>
        <v>79216427788.5</v>
      </c>
      <c r="I41" s="384">
        <f t="shared" si="4"/>
        <v>0.58426662979644062</v>
      </c>
      <c r="J41" s="384">
        <f t="shared" si="6"/>
        <v>0.41573337020355944</v>
      </c>
      <c r="K41" s="11"/>
      <c r="L41" s="4" t="s">
        <v>0</v>
      </c>
    </row>
    <row r="42" spans="1:13" ht="17.25">
      <c r="A42" s="98" t="str">
        <f t="shared" si="1"/>
        <v>TC Energy Corp</v>
      </c>
      <c r="B42" s="86" t="str">
        <f t="shared" si="1"/>
        <v>TRP</v>
      </c>
      <c r="C42" s="86" t="str">
        <f t="shared" si="1"/>
        <v>Oil &amp; Gas Distribution</v>
      </c>
      <c r="D42" s="387">
        <f t="shared" si="2"/>
        <v>57265410000</v>
      </c>
      <c r="E42" s="465">
        <f t="shared" si="3"/>
        <v>1415012499.9999998</v>
      </c>
      <c r="F42" s="387">
        <f>431000000*0.6275</f>
        <v>270452500</v>
      </c>
      <c r="G42" s="459">
        <f>(47720/46792)*J27</f>
        <v>29944299999.999996</v>
      </c>
      <c r="H42" s="296">
        <f t="shared" si="5"/>
        <v>88895175000</v>
      </c>
      <c r="I42" s="384">
        <f t="shared" si="4"/>
        <v>0.64419030616678574</v>
      </c>
      <c r="J42" s="384">
        <f t="shared" si="6"/>
        <v>0.3558096938332142</v>
      </c>
      <c r="K42" s="11"/>
      <c r="L42" s="4"/>
      <c r="M42" s="11"/>
    </row>
    <row r="43" spans="1:13" ht="18" thickBot="1">
      <c r="A43" s="268" t="str">
        <f t="shared" si="1"/>
        <v>Williams Companys Inc</v>
      </c>
      <c r="B43" s="93" t="str">
        <f t="shared" si="1"/>
        <v>WMB</v>
      </c>
      <c r="C43" s="93" t="str">
        <f t="shared" si="1"/>
        <v>Oil &amp; Gas Distribution</v>
      </c>
      <c r="D43" s="388">
        <f t="shared" si="2"/>
        <v>73454420000</v>
      </c>
      <c r="E43" s="461">
        <f t="shared" si="3"/>
        <v>35000000</v>
      </c>
      <c r="F43" s="388">
        <f>32000000+151000000</f>
        <v>183000000</v>
      </c>
      <c r="G43" s="460">
        <f>(25830/26456)*J28</f>
        <v>27982825446.023586</v>
      </c>
      <c r="H43" s="295">
        <f t="shared" si="5"/>
        <v>101655245446.02359</v>
      </c>
      <c r="I43" s="385">
        <f t="shared" si="4"/>
        <v>0.72258366676220831</v>
      </c>
      <c r="J43" s="385">
        <f t="shared" si="6"/>
        <v>0.27741633323779169</v>
      </c>
      <c r="K43" s="11"/>
      <c r="L43" s="4"/>
    </row>
    <row r="44" spans="1:13" ht="17.25">
      <c r="A44" s="11"/>
      <c r="B44" s="11"/>
      <c r="C44" s="11"/>
      <c r="D44" s="11"/>
      <c r="E44" s="11"/>
      <c r="F44" s="109"/>
      <c r="G44" s="11"/>
      <c r="H44" s="112" t="s">
        <v>45</v>
      </c>
      <c r="I44" s="115">
        <f>MAX(I37:I43)</f>
        <v>0.72258366676220831</v>
      </c>
      <c r="J44" s="115">
        <f>MAX(J37:J43)</f>
        <v>0.56418525571671974</v>
      </c>
      <c r="K44" s="11"/>
    </row>
    <row r="45" spans="1:13" ht="17.25">
      <c r="E45" s="11" t="s">
        <v>0</v>
      </c>
      <c r="G45" s="11" t="s">
        <v>0</v>
      </c>
      <c r="H45" s="305" t="s">
        <v>46</v>
      </c>
      <c r="I45" s="320">
        <f>MIN(I37:I43)</f>
        <v>0.43581474428328026</v>
      </c>
      <c r="J45" s="320">
        <f>MIN(J37:J43)</f>
        <v>0.27741633323779169</v>
      </c>
      <c r="K45" s="11"/>
    </row>
    <row r="46" spans="1:13" ht="17.25">
      <c r="E46" s="113"/>
      <c r="F46" s="272" t="s">
        <v>0</v>
      </c>
      <c r="G46" s="11" t="s">
        <v>0</v>
      </c>
      <c r="H46" s="13" t="s">
        <v>18</v>
      </c>
      <c r="I46" s="114">
        <f>MEDIAN(I37:I43)</f>
        <v>0.65394818449448622</v>
      </c>
      <c r="J46" s="115">
        <f>MEDIAN(J37:J43)</f>
        <v>0.34605181550551389</v>
      </c>
      <c r="K46" s="11"/>
    </row>
    <row r="47" spans="1:13" ht="17.25">
      <c r="E47" s="273" t="s">
        <v>0</v>
      </c>
      <c r="F47" s="272" t="s">
        <v>0</v>
      </c>
      <c r="G47" s="11" t="s">
        <v>0</v>
      </c>
      <c r="H47" s="13" t="s">
        <v>387</v>
      </c>
      <c r="I47" s="114">
        <f>AVERAGE(I37:I43)</f>
        <v>0.62641473700701289</v>
      </c>
      <c r="J47" s="115">
        <f>AVERAGE(J37:J43)</f>
        <v>0.37358526299298722</v>
      </c>
      <c r="K47" s="11"/>
    </row>
    <row r="48" spans="1:13" ht="18" thickBot="1">
      <c r="E48" s="113"/>
      <c r="G48" s="11"/>
      <c r="H48" s="11"/>
      <c r="I48" s="59"/>
      <c r="J48" s="59"/>
      <c r="K48" s="11"/>
    </row>
    <row r="49" spans="1:11" ht="27" thickBot="1">
      <c r="E49" s="113"/>
      <c r="G49" s="11"/>
      <c r="H49" s="178" t="s">
        <v>201</v>
      </c>
      <c r="I49" s="355">
        <v>0.63</v>
      </c>
      <c r="J49" s="356">
        <v>0.37</v>
      </c>
      <c r="K49" s="11"/>
    </row>
    <row r="50" spans="1:11" ht="17.25">
      <c r="E50" s="113"/>
      <c r="F50" s="11"/>
      <c r="G50" s="11"/>
      <c r="H50" s="11"/>
      <c r="I50" s="59"/>
      <c r="J50" s="59" t="s">
        <v>0</v>
      </c>
      <c r="K50" s="11"/>
    </row>
    <row r="51" spans="1:11" ht="16.5">
      <c r="E51" s="113"/>
      <c r="F51" s="11"/>
      <c r="G51" s="11"/>
      <c r="H51" s="11"/>
      <c r="I51" s="11"/>
      <c r="J51" s="11"/>
      <c r="K51" s="11"/>
    </row>
    <row r="52" spans="1:11" ht="16.5">
      <c r="E52" s="113"/>
      <c r="F52" s="11"/>
      <c r="G52" s="11"/>
      <c r="H52" s="11"/>
      <c r="I52" s="11"/>
      <c r="J52" s="11"/>
      <c r="K52" s="11"/>
    </row>
    <row r="53" spans="1:11" ht="26.25">
      <c r="A53" s="21" t="s">
        <v>71</v>
      </c>
      <c r="B53" s="11"/>
      <c r="C53" s="71"/>
      <c r="D53" s="117"/>
      <c r="E53" s="113"/>
      <c r="F53" s="11"/>
      <c r="G53" s="11"/>
      <c r="H53" s="11"/>
      <c r="I53" s="11"/>
      <c r="J53" s="11"/>
      <c r="K53" s="11"/>
    </row>
    <row r="54" spans="1:11" ht="16.5">
      <c r="A54" s="82" t="s">
        <v>54</v>
      </c>
      <c r="B54" s="11"/>
      <c r="C54" s="71"/>
      <c r="D54" s="117"/>
      <c r="E54" s="113"/>
      <c r="F54" s="11"/>
      <c r="G54" s="11"/>
      <c r="H54" s="11"/>
      <c r="I54" s="11"/>
      <c r="J54" s="11"/>
      <c r="K54" s="11"/>
    </row>
    <row r="55" spans="1:11" ht="16.5">
      <c r="A55" s="11" t="s">
        <v>0</v>
      </c>
      <c r="B55" s="11"/>
      <c r="C55" s="71"/>
      <c r="D55" s="117"/>
      <c r="E55" s="113"/>
      <c r="F55" s="11"/>
      <c r="G55" s="11"/>
      <c r="H55" s="11"/>
      <c r="I55" s="11"/>
      <c r="J55" s="11"/>
      <c r="K55" s="11"/>
    </row>
    <row r="56" spans="1:11" ht="16.5">
      <c r="A56" s="11" t="s">
        <v>145</v>
      </c>
    </row>
    <row r="57" spans="1:11" ht="16.5">
      <c r="A57" s="11" t="s">
        <v>143</v>
      </c>
    </row>
    <row r="58" spans="1:11" ht="16.5">
      <c r="A58" s="11" t="s">
        <v>144</v>
      </c>
    </row>
    <row r="59" spans="1:11" ht="16.5">
      <c r="A59" s="11" t="s">
        <v>287</v>
      </c>
    </row>
    <row r="60" spans="1:11" ht="16.5">
      <c r="A60" s="11" t="s">
        <v>455</v>
      </c>
    </row>
    <row r="62" spans="1:11" ht="26.25">
      <c r="A62" s="240" t="s">
        <v>288</v>
      </c>
    </row>
    <row r="63" spans="1:11" ht="17.25" customHeight="1">
      <c r="A63" s="11" t="s">
        <v>374</v>
      </c>
      <c r="B63" s="294"/>
      <c r="C63" s="294"/>
      <c r="D63" s="290"/>
      <c r="E63" s="290"/>
    </row>
    <row r="64" spans="1:11" ht="16.5">
      <c r="A64" s="11" t="s">
        <v>375</v>
      </c>
      <c r="B64" s="294"/>
      <c r="C64" s="294"/>
      <c r="D64" s="290"/>
      <c r="E64" s="290"/>
    </row>
    <row r="65" spans="1:5" ht="16.5">
      <c r="A65" s="11" t="s">
        <v>376</v>
      </c>
      <c r="B65" s="290"/>
      <c r="C65" s="290"/>
      <c r="D65" s="290"/>
      <c r="E65" s="290"/>
    </row>
    <row r="66" spans="1:5" ht="16.5">
      <c r="A66" s="11" t="s">
        <v>377</v>
      </c>
      <c r="B66" s="290"/>
      <c r="C66" s="290"/>
      <c r="D66" s="290"/>
      <c r="E66" s="290"/>
    </row>
    <row r="67" spans="1:5" ht="16.5">
      <c r="A67" s="120" t="s">
        <v>416</v>
      </c>
      <c r="B67" s="290"/>
      <c r="C67" s="290"/>
      <c r="D67" s="290"/>
      <c r="E67" s="290"/>
    </row>
    <row r="68" spans="1:5" ht="16.5">
      <c r="A68" s="11" t="s">
        <v>456</v>
      </c>
    </row>
    <row r="69" spans="1:5" ht="20.25" customHeight="1">
      <c r="A69" s="240" t="s">
        <v>378</v>
      </c>
    </row>
    <row r="70" spans="1:5" ht="16.5">
      <c r="A70" s="314" t="s">
        <v>0</v>
      </c>
    </row>
    <row r="71" spans="1:5" ht="17.25">
      <c r="A71" s="132" t="s">
        <v>0</v>
      </c>
    </row>
    <row r="72" spans="1:5" ht="26.25">
      <c r="A72" s="240" t="s">
        <v>350</v>
      </c>
    </row>
    <row r="73" spans="1:5" ht="16.5">
      <c r="A73" s="483" t="s">
        <v>379</v>
      </c>
    </row>
  </sheetData>
  <pageMargins left="0.25" right="0.25" top="0.75" bottom="0.75" header="0.3" footer="0.3"/>
  <pageSetup scale="38" orientation="landscape" r:id="rId1"/>
  <rowBreaks count="1" manualBreakCount="1">
    <brk id="49" max="11" man="1"/>
  </rowBreaks>
  <colBreaks count="1" manualBreakCount="1">
    <brk id="11" max="94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1FF50-7DB7-41D1-AD2F-655311479817}">
  <sheetPr>
    <tabColor rgb="FF92D050"/>
    <pageSetUpPr fitToPage="1"/>
  </sheetPr>
  <dimension ref="A1:J60"/>
  <sheetViews>
    <sheetView view="pageBreakPreview" zoomScale="70" zoomScaleNormal="80" zoomScaleSheetLayoutView="70" zoomScalePageLayoutView="70" workbookViewId="0">
      <pane xSplit="1" topLeftCell="B1" activePane="topRight" state="frozen"/>
      <selection activeCell="D33" sqref="D33"/>
      <selection pane="topRight" activeCell="F4" sqref="F4:F5"/>
    </sheetView>
  </sheetViews>
  <sheetFormatPr defaultRowHeight="15"/>
  <cols>
    <col min="1" max="1" width="62.42578125" customWidth="1"/>
    <col min="2" max="2" width="11.5703125" bestFit="1" customWidth="1"/>
    <col min="3" max="3" width="26.28515625" customWidth="1"/>
    <col min="4" max="4" width="30.140625" customWidth="1"/>
    <col min="5" max="5" width="28" customWidth="1"/>
    <col min="6" max="6" width="29.140625" customWidth="1"/>
    <col min="7" max="7" width="34.42578125" customWidth="1"/>
    <col min="8" max="8" width="12.85546875" customWidth="1"/>
    <col min="9" max="9" width="25.85546875" bestFit="1" customWidth="1"/>
    <col min="10" max="10" width="30.140625" bestFit="1" customWidth="1"/>
    <col min="11" max="11" width="9.140625" customWidth="1"/>
  </cols>
  <sheetData>
    <row r="1" spans="1:9" ht="26.25">
      <c r="A1" s="22" t="s">
        <v>1</v>
      </c>
      <c r="B1" s="11"/>
      <c r="C1" s="11"/>
      <c r="D1" s="11"/>
      <c r="E1" s="11"/>
      <c r="F1" s="11"/>
      <c r="G1" s="11"/>
      <c r="H1" s="11"/>
    </row>
    <row r="2" spans="1:9" ht="17.25">
      <c r="A2" s="23" t="s">
        <v>9</v>
      </c>
      <c r="B2" s="11"/>
      <c r="C2" s="11"/>
      <c r="D2" s="11"/>
      <c r="E2" s="11"/>
      <c r="F2" s="11"/>
      <c r="G2" s="11"/>
      <c r="H2" s="11"/>
    </row>
    <row r="3" spans="1:9" ht="16.5">
      <c r="A3" s="24" t="s">
        <v>465</v>
      </c>
      <c r="B3" s="11"/>
      <c r="C3" s="11"/>
      <c r="D3" s="11"/>
      <c r="E3" s="11"/>
      <c r="F3" s="11"/>
      <c r="G3" s="11"/>
      <c r="H3" s="11"/>
    </row>
    <row r="4" spans="1:9" ht="16.5">
      <c r="A4" s="24"/>
      <c r="B4" s="11"/>
      <c r="C4" s="11"/>
      <c r="D4" s="11"/>
      <c r="E4" s="11"/>
      <c r="F4" s="483" t="s">
        <v>0</v>
      </c>
      <c r="G4" s="11"/>
      <c r="H4" s="11"/>
    </row>
    <row r="5" spans="1:9" ht="16.5">
      <c r="B5" s="11"/>
      <c r="C5" s="11"/>
      <c r="D5" s="11"/>
      <c r="E5" s="25"/>
      <c r="F5" s="483" t="s">
        <v>0</v>
      </c>
      <c r="G5" s="11"/>
      <c r="H5" s="11" t="s">
        <v>0</v>
      </c>
    </row>
    <row r="6" spans="1:9" ht="16.5">
      <c r="A6" s="82"/>
      <c r="B6" s="32"/>
      <c r="C6" s="32"/>
      <c r="D6" s="32"/>
      <c r="E6" s="32"/>
      <c r="F6" s="32"/>
      <c r="G6" s="13"/>
      <c r="H6" s="81"/>
      <c r="I6" s="3"/>
    </row>
    <row r="7" spans="1:9" ht="16.5">
      <c r="A7" s="41"/>
      <c r="B7" s="41"/>
      <c r="C7" s="41"/>
      <c r="D7" s="41"/>
      <c r="E7" s="41"/>
      <c r="F7" s="41"/>
      <c r="G7" s="41"/>
      <c r="H7" s="41"/>
      <c r="I7" s="2"/>
    </row>
    <row r="8" spans="1:9" ht="17.25" thickBot="1">
      <c r="A8" s="41"/>
      <c r="B8" s="41"/>
      <c r="C8" s="41"/>
      <c r="D8" s="83"/>
      <c r="E8" s="27"/>
      <c r="F8" s="83"/>
      <c r="H8" s="41"/>
      <c r="I8" s="2"/>
    </row>
    <row r="9" spans="1:9" ht="27" thickBot="1">
      <c r="A9" s="26" t="str">
        <f>+'S&amp;D'!A12</f>
        <v>Natural Gas Transmission Pipeline Carrier</v>
      </c>
      <c r="B9" s="41"/>
      <c r="C9" s="41"/>
      <c r="D9" s="41"/>
      <c r="E9" s="29" t="s">
        <v>280</v>
      </c>
      <c r="F9" s="41"/>
      <c r="H9" s="11"/>
    </row>
    <row r="10" spans="1:9" ht="21" thickBot="1">
      <c r="A10" s="28"/>
      <c r="B10" s="41"/>
      <c r="C10" s="41"/>
      <c r="D10" s="83"/>
      <c r="E10" s="34" t="s">
        <v>477</v>
      </c>
      <c r="F10" s="83"/>
      <c r="H10" s="11"/>
    </row>
    <row r="11" spans="1:9" ht="20.25">
      <c r="A11" s="28"/>
      <c r="B11" s="41"/>
      <c r="C11" s="41"/>
      <c r="D11" s="41"/>
      <c r="E11" s="32"/>
      <c r="F11" s="41"/>
      <c r="H11" s="11"/>
    </row>
    <row r="12" spans="1:9" ht="20.25">
      <c r="A12" s="28"/>
      <c r="B12" s="41"/>
      <c r="C12" s="41"/>
      <c r="D12" s="41"/>
      <c r="E12" s="32"/>
      <c r="F12" s="41"/>
      <c r="H12" s="11"/>
    </row>
    <row r="13" spans="1:9" ht="16.5">
      <c r="B13" s="41"/>
      <c r="C13" s="41"/>
      <c r="D13" s="41"/>
      <c r="E13" s="32"/>
      <c r="F13" s="41"/>
      <c r="H13" s="11"/>
    </row>
    <row r="14" spans="1:9" ht="20.25">
      <c r="A14" s="28"/>
      <c r="B14" s="41"/>
      <c r="C14" s="41"/>
      <c r="D14" s="41"/>
      <c r="E14" s="12" t="s">
        <v>0</v>
      </c>
      <c r="F14" s="41"/>
      <c r="H14" s="11"/>
    </row>
    <row r="15" spans="1:9" ht="17.25" thickBot="1">
      <c r="A15" s="39" t="s">
        <v>0</v>
      </c>
      <c r="B15" s="39" t="s">
        <v>0</v>
      </c>
      <c r="C15" s="39" t="s">
        <v>0</v>
      </c>
      <c r="D15" s="39"/>
      <c r="E15" s="39"/>
      <c r="F15" s="39"/>
      <c r="H15" s="11"/>
    </row>
    <row r="16" spans="1:9" ht="17.25">
      <c r="A16" s="225"/>
      <c r="B16" s="226"/>
      <c r="C16" s="227"/>
      <c r="D16" s="210" t="s">
        <v>0</v>
      </c>
      <c r="E16" s="211" t="s">
        <v>0</v>
      </c>
      <c r="F16" s="210" t="s">
        <v>0</v>
      </c>
      <c r="H16" s="11"/>
    </row>
    <row r="17" spans="1:10" ht="17.25">
      <c r="A17" s="84" t="s">
        <v>0</v>
      </c>
      <c r="B17" s="85" t="s">
        <v>3</v>
      </c>
      <c r="C17" s="86" t="s">
        <v>5</v>
      </c>
      <c r="D17" s="87" t="s">
        <v>0</v>
      </c>
      <c r="E17" s="212" t="s">
        <v>0</v>
      </c>
      <c r="F17" s="87" t="s">
        <v>272</v>
      </c>
      <c r="H17" s="11"/>
    </row>
    <row r="18" spans="1:10" ht="17.25">
      <c r="A18" s="84"/>
      <c r="B18" s="85" t="s">
        <v>4</v>
      </c>
      <c r="C18" s="86" t="s">
        <v>6</v>
      </c>
      <c r="D18" s="87" t="s">
        <v>281</v>
      </c>
      <c r="E18" s="212" t="s">
        <v>281</v>
      </c>
      <c r="F18" s="87" t="s">
        <v>123</v>
      </c>
      <c r="H18" s="11"/>
    </row>
    <row r="19" spans="1:10" ht="18" thickBot="1">
      <c r="A19" s="91" t="s">
        <v>2</v>
      </c>
      <c r="B19" s="92" t="s">
        <v>0</v>
      </c>
      <c r="C19" s="93" t="s">
        <v>0</v>
      </c>
      <c r="D19" s="262" t="s">
        <v>270</v>
      </c>
      <c r="E19" s="261" t="s">
        <v>60</v>
      </c>
      <c r="F19" s="92" t="s">
        <v>0</v>
      </c>
      <c r="H19" s="11"/>
    </row>
    <row r="20" spans="1:10" ht="16.5">
      <c r="A20" s="263" t="s">
        <v>7</v>
      </c>
      <c r="B20" s="242" t="s">
        <v>7</v>
      </c>
      <c r="C20" s="264" t="s">
        <v>7</v>
      </c>
      <c r="D20" s="242" t="s">
        <v>7</v>
      </c>
      <c r="E20" s="108" t="s">
        <v>271</v>
      </c>
      <c r="F20" s="96"/>
      <c r="H20" s="11"/>
    </row>
    <row r="21" spans="1:10" ht="17.25">
      <c r="A21" s="84"/>
      <c r="B21" s="85"/>
      <c r="C21" s="86"/>
      <c r="D21" s="85"/>
      <c r="E21" s="213"/>
      <c r="F21" s="85"/>
      <c r="H21" s="11"/>
    </row>
    <row r="22" spans="1:10" ht="17.25">
      <c r="A22" s="98" t="str">
        <f>+'S&amp;D'!A22</f>
        <v>Enbridge Inc</v>
      </c>
      <c r="B22" s="76" t="str">
        <f>+'S&amp;D'!B22</f>
        <v>ENB.TO</v>
      </c>
      <c r="C22" s="86" t="str">
        <f>+'S&amp;D'!C22</f>
        <v>Oil &amp; Gas Distribution</v>
      </c>
      <c r="D22" s="228">
        <f>+'S&amp;D'!D37</f>
        <v>143313760000</v>
      </c>
      <c r="E22" s="229">
        <f>62333000000*0.6295</f>
        <v>39238623500</v>
      </c>
      <c r="F22" s="100">
        <f t="shared" ref="F22:F27" si="0">+D22/E22</f>
        <v>3.6523646146761495</v>
      </c>
      <c r="H22" s="11" t="s">
        <v>484</v>
      </c>
      <c r="I22" s="11"/>
    </row>
    <row r="23" spans="1:10" ht="17.25">
      <c r="A23" s="98" t="str">
        <f>+'S&amp;D'!A23</f>
        <v>Energy Transfer LP</v>
      </c>
      <c r="B23" s="76" t="str">
        <f>+'S&amp;D'!B23</f>
        <v>ET</v>
      </c>
      <c r="C23" s="86" t="str">
        <f>+'S&amp;D'!C23</f>
        <v>Pipeline MLPs</v>
      </c>
      <c r="D23" s="228">
        <f>+'S&amp;D'!D38</f>
        <v>56725381985.709991</v>
      </c>
      <c r="E23" s="229">
        <f>34366000000</f>
        <v>34366000000</v>
      </c>
      <c r="F23" s="100">
        <f>+D23/E23</f>
        <v>1.6506250941543965</v>
      </c>
      <c r="H23" s="11"/>
    </row>
    <row r="24" spans="1:10" ht="17.25">
      <c r="A24" s="98" t="str">
        <f>+'S&amp;D'!A24</f>
        <v>Enterprise Products Partnership LP</v>
      </c>
      <c r="B24" s="76" t="str">
        <f>+'S&amp;D'!B24</f>
        <v>EPD</v>
      </c>
      <c r="C24" s="86" t="str">
        <f>+'S&amp;D'!C24</f>
        <v>Pipeline MLPs</v>
      </c>
      <c r="D24" s="228">
        <f>+'S&amp;D'!D39</f>
        <v>69306047496.980011</v>
      </c>
      <c r="E24" s="229">
        <v>29739000000</v>
      </c>
      <c r="F24" s="100">
        <f t="shared" si="0"/>
        <v>2.330476730790545</v>
      </c>
      <c r="H24" s="11"/>
    </row>
    <row r="25" spans="1:10" ht="17.25">
      <c r="A25" s="98" t="str">
        <f>+'S&amp;D'!A25</f>
        <v>Kinder Morgan Inc</v>
      </c>
      <c r="B25" s="76" t="str">
        <f>+'S&amp;D'!B25</f>
        <v>KMI</v>
      </c>
      <c r="C25" s="86" t="str">
        <f>+'S&amp;D'!C25</f>
        <v>Oil &amp; Gas Distribution</v>
      </c>
      <c r="D25" s="228">
        <f>+'S&amp;D'!D40</f>
        <v>61159140347.5</v>
      </c>
      <c r="E25" s="229">
        <v>31162000000</v>
      </c>
      <c r="F25" s="100">
        <f t="shared" si="0"/>
        <v>1.9626192268628457</v>
      </c>
      <c r="H25" s="11"/>
    </row>
    <row r="26" spans="1:10" ht="17.25">
      <c r="A26" s="98" t="str">
        <f>+'S&amp;D'!A26</f>
        <v>ONEOK Inc</v>
      </c>
      <c r="B26" s="76" t="str">
        <f>+'S&amp;D'!B26</f>
        <v>OKE</v>
      </c>
      <c r="C26" s="86" t="str">
        <f>+'S&amp;D'!C26</f>
        <v>Oil &amp; Gas Distribution</v>
      </c>
      <c r="D26" s="228">
        <f>+'S&amp;D'!D41</f>
        <v>46283515288.5</v>
      </c>
      <c r="E26" s="229">
        <v>22485000000</v>
      </c>
      <c r="F26" s="100">
        <f t="shared" si="0"/>
        <v>2.0584174022014676</v>
      </c>
      <c r="H26" s="11"/>
    </row>
    <row r="27" spans="1:10" ht="17.25">
      <c r="A27" s="98" t="str">
        <f>+'S&amp;D'!A27</f>
        <v>TC Energy Corp</v>
      </c>
      <c r="B27" s="76" t="str">
        <f>+'S&amp;D'!B27</f>
        <v>TRP</v>
      </c>
      <c r="C27" s="86" t="str">
        <f>+'S&amp;D'!C27</f>
        <v>Oil &amp; Gas Distribution</v>
      </c>
      <c r="D27" s="228">
        <f>+'S&amp;D'!D42</f>
        <v>57265410000</v>
      </c>
      <c r="E27" s="229">
        <f>27295000000*0.6275</f>
        <v>17127612499.999998</v>
      </c>
      <c r="F27" s="100">
        <f t="shared" si="0"/>
        <v>3.3434554874475357</v>
      </c>
      <c r="H27" s="11" t="s">
        <v>484</v>
      </c>
      <c r="I27" s="11"/>
    </row>
    <row r="28" spans="1:10" ht="18" thickBot="1">
      <c r="A28" s="268" t="str">
        <f>+'S&amp;D'!A28</f>
        <v>Williams Companys Inc</v>
      </c>
      <c r="B28" s="77" t="str">
        <f>+'S&amp;D'!B28</f>
        <v>WMB</v>
      </c>
      <c r="C28" s="93" t="str">
        <f>+'S&amp;D'!C28</f>
        <v>Oil &amp; Gas Distribution</v>
      </c>
      <c r="D28" s="269">
        <f>+'S&amp;D'!D43</f>
        <v>73454420000</v>
      </c>
      <c r="E28" s="318">
        <v>12807000000</v>
      </c>
      <c r="F28" s="100">
        <f t="shared" ref="F28" si="1">+D28/E28</f>
        <v>5.7354899664246117</v>
      </c>
      <c r="H28" s="11"/>
      <c r="J28" s="10" t="s">
        <v>0</v>
      </c>
    </row>
    <row r="29" spans="1:10" ht="27" customHeight="1" thickBot="1">
      <c r="A29" s="110"/>
      <c r="B29" s="103"/>
      <c r="C29" s="103"/>
      <c r="D29" s="111"/>
      <c r="E29" s="267" t="s">
        <v>279</v>
      </c>
      <c r="F29" s="179">
        <f>AVERAGE(F22:F28)</f>
        <v>2.9619212175082219</v>
      </c>
      <c r="H29" s="11"/>
    </row>
    <row r="30" spans="1:10" ht="17.25">
      <c r="A30" s="102"/>
      <c r="B30" s="102"/>
      <c r="C30" s="102"/>
      <c r="D30" s="102"/>
      <c r="E30" s="222"/>
      <c r="F30" s="224"/>
      <c r="H30" s="11"/>
    </row>
    <row r="31" spans="1:10" ht="17.25">
      <c r="A31" s="102"/>
      <c r="B31" s="102"/>
      <c r="C31" s="102"/>
      <c r="D31" s="102"/>
      <c r="E31" s="222"/>
      <c r="F31" s="224"/>
      <c r="H31" s="11"/>
    </row>
    <row r="32" spans="1:10" ht="17.25">
      <c r="A32" s="102"/>
      <c r="B32" s="102"/>
      <c r="C32" s="102"/>
      <c r="D32" s="102"/>
      <c r="E32" s="222"/>
      <c r="F32" s="224"/>
      <c r="H32" s="11"/>
    </row>
    <row r="33" spans="1:8" ht="18" thickBot="1">
      <c r="A33" s="102"/>
      <c r="B33" s="102"/>
      <c r="C33" s="102"/>
      <c r="D33" s="102"/>
      <c r="E33" s="102"/>
      <c r="F33" s="102"/>
      <c r="H33" s="11"/>
    </row>
    <row r="34" spans="1:8" ht="17.25">
      <c r="A34" s="225"/>
      <c r="B34" s="226"/>
      <c r="C34" s="227"/>
      <c r="D34" s="210" t="s">
        <v>0</v>
      </c>
      <c r="E34" s="211" t="s">
        <v>0</v>
      </c>
      <c r="F34" s="210" t="s">
        <v>0</v>
      </c>
      <c r="H34" s="11"/>
    </row>
    <row r="35" spans="1:8" ht="17.25">
      <c r="A35" s="84" t="s">
        <v>0</v>
      </c>
      <c r="B35" s="85" t="s">
        <v>3</v>
      </c>
      <c r="C35" s="86" t="s">
        <v>5</v>
      </c>
      <c r="D35" s="87" t="s">
        <v>0</v>
      </c>
      <c r="E35" s="212" t="s">
        <v>0</v>
      </c>
      <c r="F35" s="87" t="s">
        <v>272</v>
      </c>
      <c r="H35" s="11"/>
    </row>
    <row r="36" spans="1:8" ht="17.25">
      <c r="A36" s="84"/>
      <c r="B36" s="85" t="s">
        <v>4</v>
      </c>
      <c r="C36" s="86" t="s">
        <v>6</v>
      </c>
      <c r="D36" s="87" t="s">
        <v>273</v>
      </c>
      <c r="E36" s="212" t="s">
        <v>273</v>
      </c>
      <c r="F36" s="87" t="s">
        <v>123</v>
      </c>
    </row>
    <row r="37" spans="1:8" ht="18" thickBot="1">
      <c r="A37" s="91" t="s">
        <v>2</v>
      </c>
      <c r="B37" s="92" t="s">
        <v>0</v>
      </c>
      <c r="C37" s="93" t="s">
        <v>0</v>
      </c>
      <c r="D37" s="262" t="s">
        <v>270</v>
      </c>
      <c r="E37" s="261" t="s">
        <v>60</v>
      </c>
      <c r="F37" s="92" t="s">
        <v>0</v>
      </c>
    </row>
    <row r="38" spans="1:8">
      <c r="A38" s="263" t="s">
        <v>7</v>
      </c>
      <c r="B38" s="242" t="s">
        <v>7</v>
      </c>
      <c r="C38" s="264" t="s">
        <v>7</v>
      </c>
      <c r="D38" s="242" t="s">
        <v>271</v>
      </c>
      <c r="E38" s="108" t="s">
        <v>271</v>
      </c>
      <c r="F38" s="96"/>
    </row>
    <row r="39" spans="1:8" ht="18" thickBot="1">
      <c r="A39" s="84"/>
      <c r="B39" s="85"/>
      <c r="C39" s="86"/>
      <c r="D39" s="85"/>
      <c r="E39" s="315"/>
      <c r="F39" s="315"/>
    </row>
    <row r="40" spans="1:8" ht="17.25">
      <c r="A40" s="98" t="str">
        <f t="shared" ref="A40:C46" si="2">+A22</f>
        <v>Enbridge Inc</v>
      </c>
      <c r="B40" s="76" t="str">
        <f t="shared" si="2"/>
        <v>ENB.TO</v>
      </c>
      <c r="C40" s="86" t="str">
        <f t="shared" si="2"/>
        <v>Oil &amp; Gas Distribution</v>
      </c>
      <c r="D40" s="228">
        <f>+'S&amp;D'!G37</f>
        <v>67763552421.638008</v>
      </c>
      <c r="E40" s="229">
        <f>+'S&amp;D'!J22</f>
        <v>65256234999.999992</v>
      </c>
      <c r="F40" s="100">
        <f t="shared" ref="F40:F43" si="3">+D40/E40</f>
        <v>1.0384226491405459</v>
      </c>
    </row>
    <row r="41" spans="1:8" ht="17.25">
      <c r="A41" s="98" t="str">
        <f t="shared" si="2"/>
        <v>Energy Transfer LP</v>
      </c>
      <c r="B41" s="76" t="str">
        <f t="shared" si="2"/>
        <v>ET</v>
      </c>
      <c r="C41" s="86" t="str">
        <f t="shared" si="2"/>
        <v>Pipeline MLPs</v>
      </c>
      <c r="D41" s="228">
        <f>+'S&amp;D'!G38</f>
        <v>68553009659.007759</v>
      </c>
      <c r="E41" s="229">
        <f>+'S&amp;D'!J23</f>
        <v>68333000000</v>
      </c>
      <c r="F41" s="100">
        <f t="shared" si="3"/>
        <v>1.0032196692521587</v>
      </c>
    </row>
    <row r="42" spans="1:8" ht="17.25">
      <c r="A42" s="98" t="str">
        <f t="shared" si="2"/>
        <v>Enterprise Products Partnership LP</v>
      </c>
      <c r="B42" s="76" t="str">
        <f t="shared" si="2"/>
        <v>EPD</v>
      </c>
      <c r="C42" s="86" t="str">
        <f t="shared" si="2"/>
        <v>Pipeline MLPs</v>
      </c>
      <c r="D42" s="228">
        <f>+'S&amp;D'!G39</f>
        <v>32478563049.853374</v>
      </c>
      <c r="E42" s="229">
        <f>+'S&amp;D'!J24</f>
        <v>34395000000</v>
      </c>
      <c r="F42" s="100">
        <f t="shared" si="3"/>
        <v>0.94428152492668627</v>
      </c>
    </row>
    <row r="43" spans="1:8" ht="17.25">
      <c r="A43" s="98" t="str">
        <f t="shared" si="2"/>
        <v>Kinder Morgan Inc</v>
      </c>
      <c r="B43" s="76" t="str">
        <f t="shared" si="2"/>
        <v>KMI</v>
      </c>
      <c r="C43" s="86" t="str">
        <f t="shared" si="2"/>
        <v>Oil &amp; Gas Distribution</v>
      </c>
      <c r="D43" s="228">
        <f>+'S&amp;D'!G41</f>
        <v>32695912500.000004</v>
      </c>
      <c r="E43" s="229">
        <f>+'S&amp;D'!J25</f>
        <v>32185000000</v>
      </c>
      <c r="F43" s="100">
        <f t="shared" si="3"/>
        <v>1.0158742426596241</v>
      </c>
    </row>
    <row r="44" spans="1:8" ht="17.25">
      <c r="A44" s="98" t="str">
        <f t="shared" si="2"/>
        <v>ONEOK Inc</v>
      </c>
      <c r="B44" s="76" t="str">
        <f t="shared" si="2"/>
        <v>OKE</v>
      </c>
      <c r="C44" s="86" t="str">
        <f t="shared" si="2"/>
        <v>Oil &amp; Gas Distribution</v>
      </c>
      <c r="D44" s="228">
        <f>+'S&amp;D'!G42</f>
        <v>29944299999.999996</v>
      </c>
      <c r="E44" s="229">
        <f>+'S&amp;D'!J26</f>
        <v>31996000000</v>
      </c>
      <c r="F44" s="100">
        <f>+D44/E44</f>
        <v>0.93587635954494297</v>
      </c>
    </row>
    <row r="45" spans="1:8" ht="17.25">
      <c r="A45" s="98" t="str">
        <f t="shared" si="2"/>
        <v>TC Energy Corp</v>
      </c>
      <c r="B45" s="76" t="str">
        <f t="shared" si="2"/>
        <v>TRP</v>
      </c>
      <c r="C45" s="86" t="str">
        <f t="shared" si="2"/>
        <v>Oil &amp; Gas Distribution</v>
      </c>
      <c r="D45" s="228">
        <f>+'S&amp;D'!G43</f>
        <v>27982825446.023586</v>
      </c>
      <c r="E45" s="229">
        <f>+'S&amp;D'!J27</f>
        <v>29361979999.999996</v>
      </c>
      <c r="F45" s="100">
        <f t="shared" ref="F45" si="4">+D45/E45</f>
        <v>0.95302923869655898</v>
      </c>
    </row>
    <row r="46" spans="1:8" ht="18" thickBot="1">
      <c r="A46" s="268" t="str">
        <f t="shared" si="2"/>
        <v>Williams Companys Inc</v>
      </c>
      <c r="B46" s="77" t="str">
        <f t="shared" si="2"/>
        <v>WMB</v>
      </c>
      <c r="C46" s="93" t="str">
        <f t="shared" si="2"/>
        <v>Oil &amp; Gas Distribution</v>
      </c>
      <c r="D46" s="269">
        <f>+'S&amp;D'!G43</f>
        <v>27982825446.023586</v>
      </c>
      <c r="E46" s="229">
        <f>+'S&amp;D'!J28</f>
        <v>28661000000</v>
      </c>
      <c r="F46" s="100">
        <f t="shared" ref="F46" si="5">+D46/E46</f>
        <v>0.97633807075899604</v>
      </c>
    </row>
    <row r="47" spans="1:8" ht="27.75" customHeight="1" thickBot="1">
      <c r="A47" s="265"/>
      <c r="B47" s="137"/>
      <c r="C47" s="137"/>
      <c r="D47" s="266"/>
      <c r="E47" s="267" t="s">
        <v>279</v>
      </c>
      <c r="F47" s="179">
        <f>AVERAGE(F40:F46)</f>
        <v>0.98100596499707327</v>
      </c>
    </row>
    <row r="52" spans="1:6">
      <c r="C52" s="214" t="s">
        <v>274</v>
      </c>
      <c r="D52" s="214" t="s">
        <v>275</v>
      </c>
      <c r="E52" s="214"/>
    </row>
    <row r="53" spans="1:6">
      <c r="A53" s="216"/>
      <c r="B53" s="216"/>
      <c r="C53" s="215" t="s">
        <v>35</v>
      </c>
      <c r="D53" s="215" t="s">
        <v>276</v>
      </c>
      <c r="E53" s="215" t="s">
        <v>277</v>
      </c>
    </row>
    <row r="54" spans="1:6" ht="17.25">
      <c r="A54" s="86" t="s">
        <v>39</v>
      </c>
      <c r="B54" s="126" t="s">
        <v>0</v>
      </c>
      <c r="C54" s="126">
        <f>+'Yield CapRate'!C23</f>
        <v>0.63</v>
      </c>
      <c r="D54" s="220">
        <f>+F29</f>
        <v>2.9619212175082219</v>
      </c>
      <c r="E54" s="221">
        <f>+C54*D54</f>
        <v>1.8660103670301798</v>
      </c>
      <c r="F54" s="127" t="s">
        <v>0</v>
      </c>
    </row>
    <row r="55" spans="1:6" ht="17.25">
      <c r="A55" s="217" t="s">
        <v>41</v>
      </c>
      <c r="B55" s="218" t="str">
        <f>'S&amp;D'!I34</f>
        <v xml:space="preserve"> </v>
      </c>
      <c r="C55" s="218">
        <f>+'Yield CapRate'!C25</f>
        <v>0.37</v>
      </c>
      <c r="D55" s="219">
        <f>+F47</f>
        <v>0.98100596499707327</v>
      </c>
      <c r="E55" s="219">
        <f>+C55*D55</f>
        <v>0.36297220704891708</v>
      </c>
      <c r="F55" s="127" t="s">
        <v>0</v>
      </c>
    </row>
    <row r="56" spans="1:6">
      <c r="D56" s="222" t="s">
        <v>278</v>
      </c>
      <c r="E56" s="223">
        <f>+E54+E55</f>
        <v>2.2289825740790969</v>
      </c>
    </row>
    <row r="59" spans="1:6" ht="20.25">
      <c r="A59" s="28" t="s">
        <v>389</v>
      </c>
    </row>
    <row r="60" spans="1:6" ht="19.5" customHeight="1">
      <c r="A60" s="28" t="s">
        <v>358</v>
      </c>
    </row>
  </sheetData>
  <pageMargins left="0.25" right="0.25" top="0.75" bottom="0.75" header="0.3" footer="0.3"/>
  <pageSetup scale="48" orientation="landscape" r:id="rId1"/>
  <rowBreaks count="1" manualBreakCount="1">
    <brk id="33" max="6" man="1"/>
  </rowBreaks>
  <colBreaks count="1" manualBreakCount="1">
    <brk id="8" max="71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1145E-BF36-4A2C-868C-9B0DC0104C72}">
  <sheetPr>
    <tabColor rgb="FF92D050"/>
  </sheetPr>
  <dimension ref="A1:N75"/>
  <sheetViews>
    <sheetView view="pageBreakPreview" topLeftCell="A34" zoomScale="80" zoomScaleNormal="80" zoomScaleSheetLayoutView="80" workbookViewId="0">
      <selection activeCell="H47" activeCellId="1" sqref="H7 H47"/>
    </sheetView>
  </sheetViews>
  <sheetFormatPr defaultRowHeight="15"/>
  <cols>
    <col min="1" max="1" width="41" customWidth="1"/>
    <col min="2" max="2" width="10.85546875" bestFit="1" customWidth="1"/>
    <col min="3" max="3" width="10.7109375" customWidth="1"/>
    <col min="4" max="4" width="28.5703125" customWidth="1"/>
    <col min="5" max="5" width="22.28515625" customWidth="1"/>
    <col min="6" max="6" width="26.5703125" customWidth="1"/>
    <col min="7" max="7" width="26.42578125" customWidth="1"/>
    <col min="8" max="8" width="23.85546875" customWidth="1"/>
    <col min="9" max="9" width="15" customWidth="1"/>
    <col min="10" max="10" width="14.140625" bestFit="1" customWidth="1"/>
    <col min="11" max="11" width="16.7109375" customWidth="1"/>
    <col min="12" max="12" width="23.140625" customWidth="1"/>
  </cols>
  <sheetData>
    <row r="1" spans="1:12" ht="26.25">
      <c r="A1" s="22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7.25">
      <c r="A2" s="23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6.5">
      <c r="A3" s="24" t="s">
        <v>465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ht="16.5">
      <c r="A4" s="2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2" ht="16.5">
      <c r="A5" s="24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16.5">
      <c r="A6" s="2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17.25" thickBot="1">
      <c r="A7" s="11"/>
      <c r="B7" s="11"/>
      <c r="C7" s="11"/>
      <c r="D7" s="11"/>
      <c r="E7" s="11"/>
      <c r="F7" s="27"/>
      <c r="G7" s="27"/>
      <c r="H7" s="484" t="s">
        <v>0</v>
      </c>
      <c r="I7" s="11"/>
      <c r="J7" s="11"/>
      <c r="K7" s="11"/>
      <c r="L7" s="11"/>
    </row>
    <row r="8" spans="1:12" ht="27" thickBot="1">
      <c r="A8" s="234" t="str">
        <f>+'S&amp;D'!A12</f>
        <v>Natural Gas Transmission Pipeline Carrier</v>
      </c>
      <c r="B8" s="235"/>
      <c r="C8" s="170"/>
      <c r="D8" s="11"/>
      <c r="E8" s="11"/>
      <c r="F8" s="11"/>
      <c r="G8" s="29" t="s">
        <v>75</v>
      </c>
      <c r="H8" s="11"/>
      <c r="I8" s="11"/>
      <c r="J8" s="11"/>
      <c r="K8" s="11"/>
      <c r="L8" s="11"/>
    </row>
    <row r="9" spans="1:12" ht="20.25">
      <c r="A9" s="28"/>
      <c r="B9" s="11"/>
      <c r="C9" s="11"/>
      <c r="D9" s="11"/>
      <c r="E9" s="11"/>
      <c r="F9" s="11"/>
      <c r="G9" s="86" t="s">
        <v>76</v>
      </c>
      <c r="H9" s="11"/>
      <c r="I9" s="11"/>
      <c r="J9" s="11"/>
      <c r="K9" s="11"/>
      <c r="L9" s="11"/>
    </row>
    <row r="10" spans="1:12" ht="18" customHeight="1" thickBot="1">
      <c r="A10" s="38" t="s">
        <v>0</v>
      </c>
      <c r="B10" s="38" t="s">
        <v>0</v>
      </c>
      <c r="C10" s="38" t="s">
        <v>0</v>
      </c>
      <c r="D10" s="11"/>
      <c r="E10" s="11"/>
      <c r="F10" s="31" t="s">
        <v>0</v>
      </c>
      <c r="G10" s="34" t="s">
        <v>477</v>
      </c>
      <c r="H10" s="31" t="s">
        <v>0</v>
      </c>
      <c r="I10" s="38" t="s">
        <v>0</v>
      </c>
      <c r="J10" s="11"/>
      <c r="K10" s="11"/>
      <c r="L10" s="11"/>
    </row>
    <row r="11" spans="1:12" ht="18" customHeight="1">
      <c r="A11" s="38"/>
      <c r="B11" s="38"/>
      <c r="C11" s="38"/>
      <c r="D11" s="11"/>
      <c r="E11" s="11"/>
      <c r="J11" s="11"/>
      <c r="K11" s="11"/>
      <c r="L11" s="11"/>
    </row>
    <row r="12" spans="1:12" ht="18" customHeight="1">
      <c r="A12" s="38"/>
      <c r="B12" s="38"/>
      <c r="C12" s="38"/>
      <c r="D12" s="11" t="s">
        <v>0</v>
      </c>
      <c r="E12" s="11" t="s">
        <v>0</v>
      </c>
      <c r="G12" s="12" t="s">
        <v>0</v>
      </c>
      <c r="J12" s="11"/>
      <c r="K12" s="11"/>
      <c r="L12" s="11" t="s">
        <v>0</v>
      </c>
    </row>
    <row r="13" spans="1:12" ht="17.25" thickBot="1">
      <c r="A13" s="31"/>
      <c r="B13" s="31"/>
      <c r="C13" s="31"/>
      <c r="D13" s="31"/>
      <c r="E13" s="34"/>
      <c r="F13" s="31"/>
      <c r="G13" s="31"/>
      <c r="H13" s="31"/>
      <c r="I13" s="31"/>
      <c r="J13" s="27"/>
      <c r="K13" s="27"/>
      <c r="L13" s="27"/>
    </row>
    <row r="14" spans="1:12" ht="15" customHeight="1" thickBot="1">
      <c r="A14" s="31" t="s">
        <v>24</v>
      </c>
      <c r="B14" s="31" t="s">
        <v>88</v>
      </c>
      <c r="C14" s="31" t="s">
        <v>89</v>
      </c>
      <c r="D14" s="39" t="s">
        <v>90</v>
      </c>
      <c r="E14" s="31" t="s">
        <v>91</v>
      </c>
      <c r="F14" s="31" t="s">
        <v>92</v>
      </c>
      <c r="G14" s="31" t="s">
        <v>93</v>
      </c>
      <c r="H14" s="31" t="s">
        <v>94</v>
      </c>
      <c r="I14" s="31" t="s">
        <v>95</v>
      </c>
      <c r="J14" s="31" t="s">
        <v>96</v>
      </c>
      <c r="K14" s="31" t="s">
        <v>97</v>
      </c>
      <c r="L14" s="31" t="s">
        <v>105</v>
      </c>
    </row>
    <row r="15" spans="1:12" ht="16.5">
      <c r="A15" s="32" t="s">
        <v>0</v>
      </c>
      <c r="B15" s="32" t="s">
        <v>3</v>
      </c>
      <c r="C15" s="32" t="s">
        <v>77</v>
      </c>
      <c r="D15" s="32" t="s">
        <v>80</v>
      </c>
      <c r="E15" s="32" t="s">
        <v>80</v>
      </c>
      <c r="F15" s="32" t="s">
        <v>81</v>
      </c>
      <c r="G15" s="32" t="s">
        <v>84</v>
      </c>
      <c r="H15" s="32" t="s">
        <v>86</v>
      </c>
      <c r="I15" s="32" t="s">
        <v>108</v>
      </c>
      <c r="J15" s="32" t="s">
        <v>108</v>
      </c>
      <c r="K15" s="32" t="s">
        <v>101</v>
      </c>
      <c r="L15" s="32" t="s">
        <v>103</v>
      </c>
    </row>
    <row r="16" spans="1:12" ht="17.25" thickBot="1">
      <c r="A16" s="34" t="s">
        <v>2</v>
      </c>
      <c r="B16" s="34" t="s">
        <v>4</v>
      </c>
      <c r="C16" s="34" t="s">
        <v>78</v>
      </c>
      <c r="D16" s="34" t="s">
        <v>83</v>
      </c>
      <c r="E16" s="34" t="s">
        <v>82</v>
      </c>
      <c r="F16" s="34" t="s">
        <v>19</v>
      </c>
      <c r="G16" s="34" t="s">
        <v>85</v>
      </c>
      <c r="H16" s="34" t="s">
        <v>87</v>
      </c>
      <c r="I16" s="34" t="s">
        <v>0</v>
      </c>
      <c r="J16" s="34" t="s">
        <v>0</v>
      </c>
      <c r="K16" s="34" t="s">
        <v>102</v>
      </c>
      <c r="L16" s="34" t="s">
        <v>84</v>
      </c>
    </row>
    <row r="17" spans="1:14">
      <c r="A17" s="40" t="s">
        <v>7</v>
      </c>
      <c r="B17" s="40" t="s">
        <v>7</v>
      </c>
      <c r="C17" s="40" t="s">
        <v>79</v>
      </c>
      <c r="D17" s="40" t="s">
        <v>234</v>
      </c>
      <c r="E17" s="40" t="s">
        <v>234</v>
      </c>
      <c r="F17" s="40" t="s">
        <v>106</v>
      </c>
      <c r="G17" s="40" t="s">
        <v>233</v>
      </c>
      <c r="H17" s="40" t="s">
        <v>98</v>
      </c>
      <c r="I17" s="40" t="s">
        <v>99</v>
      </c>
      <c r="J17" s="40" t="s">
        <v>100</v>
      </c>
      <c r="K17" s="40" t="s">
        <v>107</v>
      </c>
      <c r="L17" s="40" t="s">
        <v>104</v>
      </c>
    </row>
    <row r="18" spans="1:14" ht="16.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4" ht="16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4" ht="22.5" customHeight="1">
      <c r="A20" s="59" t="str">
        <f>+'S&amp;D'!A22</f>
        <v>Enbridge Inc</v>
      </c>
      <c r="B20" s="86" t="str">
        <f>+'S&amp;D'!B22</f>
        <v>ENB.TO</v>
      </c>
      <c r="C20" s="62">
        <f>+'Growth &amp; Inflation Rates'!$D$56</f>
        <v>2.2800000000000001E-2</v>
      </c>
      <c r="D20" s="354">
        <f>172738000000*0.6275</f>
        <v>108393094999.99998</v>
      </c>
      <c r="E20" s="354">
        <f>169066000000*0.6948</f>
        <v>117467056800</v>
      </c>
      <c r="F20" s="122">
        <f t="shared" ref="F20:F23" si="0">(D20+E20)/2</f>
        <v>112930075900</v>
      </c>
      <c r="G20" s="122">
        <f>5661000000*0.6275</f>
        <v>3552277499.9999995</v>
      </c>
      <c r="H20" s="17">
        <f t="shared" ref="H20:H23" si="1">+F20/G20</f>
        <v>31.790893560539686</v>
      </c>
      <c r="I20" s="42">
        <f t="shared" ref="I20:I23" si="2">+C20*H20</f>
        <v>0.72483237318030491</v>
      </c>
      <c r="J20" s="43">
        <f t="shared" ref="J20:J23" si="3">1/(1+C20)^H20</f>
        <v>0.48836472070551035</v>
      </c>
      <c r="K20" s="123">
        <f t="shared" ref="K20:K23" si="4">(G20*I20)/(1-J20)</f>
        <v>5032502320.9315882</v>
      </c>
      <c r="L20" s="124">
        <f t="shared" ref="L20:L23" si="5">+K20/G20</f>
        <v>1.4166974063629851</v>
      </c>
      <c r="M20" s="11" t="s">
        <v>484</v>
      </c>
      <c r="N20" s="11"/>
    </row>
    <row r="21" spans="1:14" ht="22.5" customHeight="1">
      <c r="A21" s="59" t="str">
        <f>+'S&amp;D'!A23</f>
        <v>Energy Transfer LP</v>
      </c>
      <c r="B21" s="86" t="str">
        <f>+'S&amp;D'!B23</f>
        <v>ET</v>
      </c>
      <c r="C21" s="62">
        <f>+'Growth &amp; Inflation Rates'!$D$56</f>
        <v>2.2800000000000001E-2</v>
      </c>
      <c r="D21" s="354">
        <v>141283000000</v>
      </c>
      <c r="E21" s="354">
        <v>129242000000</v>
      </c>
      <c r="F21" s="122">
        <f t="shared" si="0"/>
        <v>135262500000</v>
      </c>
      <c r="G21" s="122">
        <v>5682000000</v>
      </c>
      <c r="H21" s="17">
        <f t="shared" si="1"/>
        <v>23.805438225976769</v>
      </c>
      <c r="I21" s="42">
        <f t="shared" si="2"/>
        <v>0.54276399155227029</v>
      </c>
      <c r="J21" s="43">
        <f t="shared" si="3"/>
        <v>0.58469265099691559</v>
      </c>
      <c r="K21" s="123">
        <f t="shared" si="4"/>
        <v>7425789616.781127</v>
      </c>
      <c r="L21" s="124">
        <f t="shared" si="5"/>
        <v>1.3068971518446193</v>
      </c>
    </row>
    <row r="22" spans="1:14" ht="22.5" customHeight="1">
      <c r="A22" s="59" t="str">
        <f>+'S&amp;D'!A24</f>
        <v>Enterprise Products Partnership LP</v>
      </c>
      <c r="B22" s="86" t="str">
        <f>+'S&amp;D'!B24</f>
        <v>EPD</v>
      </c>
      <c r="C22" s="62">
        <f>+'Growth &amp; Inflation Rates'!$D$56</f>
        <v>2.2800000000000001E-2</v>
      </c>
      <c r="D22" s="354">
        <f>75472000000+225000000</f>
        <v>75697000000</v>
      </c>
      <c r="E22" s="354">
        <v>71203000000</v>
      </c>
      <c r="F22" s="122">
        <f t="shared" si="0"/>
        <v>73450000000</v>
      </c>
      <c r="G22" s="122">
        <v>2551000000</v>
      </c>
      <c r="H22" s="17">
        <f t="shared" si="1"/>
        <v>28.792630341042727</v>
      </c>
      <c r="I22" s="42">
        <f t="shared" si="2"/>
        <v>0.65647197177577421</v>
      </c>
      <c r="J22" s="43">
        <f t="shared" si="3"/>
        <v>0.52251581147987491</v>
      </c>
      <c r="K22" s="123">
        <f t="shared" si="4"/>
        <v>3507257497.2383952</v>
      </c>
      <c r="L22" s="124">
        <f t="shared" si="5"/>
        <v>1.374855937764953</v>
      </c>
    </row>
    <row r="23" spans="1:14" ht="22.5" customHeight="1">
      <c r="A23" s="59" t="str">
        <f>+'S&amp;D'!A25</f>
        <v>Kinder Morgan Inc</v>
      </c>
      <c r="B23" s="86" t="str">
        <f>+'S&amp;D'!B25</f>
        <v>KMI</v>
      </c>
      <c r="C23" s="62">
        <f>+'Growth &amp; Inflation Rates'!$D$56</f>
        <v>2.2800000000000001E-2</v>
      </c>
      <c r="D23" s="354">
        <f>39331000000+12970000000</f>
        <v>52301000000</v>
      </c>
      <c r="E23" s="354">
        <f>38013000000+11470000000</f>
        <v>49483000000</v>
      </c>
      <c r="F23" s="122">
        <f t="shared" si="0"/>
        <v>50892000000</v>
      </c>
      <c r="G23" s="122">
        <v>2453000000</v>
      </c>
      <c r="H23" s="17">
        <f t="shared" si="1"/>
        <v>20.746840603342847</v>
      </c>
      <c r="I23" s="42">
        <f t="shared" si="2"/>
        <v>0.47302796575621692</v>
      </c>
      <c r="J23" s="43">
        <f t="shared" si="3"/>
        <v>0.62643138192732273</v>
      </c>
      <c r="K23" s="123">
        <f t="shared" si="4"/>
        <v>3106089601.3868537</v>
      </c>
      <c r="L23" s="124">
        <f t="shared" si="5"/>
        <v>1.2662411746379347</v>
      </c>
    </row>
    <row r="24" spans="1:14" ht="22.5" customHeight="1">
      <c r="A24" s="59" t="str">
        <f>+'S&amp;D'!A26</f>
        <v>ONEOK Inc</v>
      </c>
      <c r="B24" s="86" t="str">
        <f>+'S&amp;D'!B26</f>
        <v>OKE</v>
      </c>
      <c r="C24" s="62">
        <f>+'Growth &amp; Inflation Rates'!$D$56</f>
        <v>2.2800000000000001E-2</v>
      </c>
      <c r="D24" s="354">
        <v>55489000000</v>
      </c>
      <c r="E24" s="354">
        <v>52274000000</v>
      </c>
      <c r="F24" s="122">
        <f t="shared" ref="F24:F26" si="6">(D24+E24)/2</f>
        <v>53881500000</v>
      </c>
      <c r="G24" s="122">
        <v>1514000000</v>
      </c>
      <c r="H24" s="17">
        <f>+F24/G24</f>
        <v>35.588837516512548</v>
      </c>
      <c r="I24" s="42">
        <f>+C24*H24</f>
        <v>0.81142549537648612</v>
      </c>
      <c r="J24" s="43">
        <f>1/(1+C24)^H24</f>
        <v>0.44829064881472419</v>
      </c>
      <c r="K24" s="123">
        <f>(G24*I24)/(1-J24)</f>
        <v>2226712665.5742402</v>
      </c>
      <c r="L24" s="124">
        <f>+K24/G24</f>
        <v>1.4707481278561692</v>
      </c>
    </row>
    <row r="25" spans="1:14" ht="22.5" customHeight="1">
      <c r="A25" s="59" t="str">
        <f>+'S&amp;D'!A27</f>
        <v>TC Energy Corp</v>
      </c>
      <c r="B25" s="86" t="str">
        <f>+'S&amp;D'!B27</f>
        <v>TRP</v>
      </c>
      <c r="C25" s="62">
        <f>+'Growth &amp; Inflation Rates'!$D$56</f>
        <v>2.2800000000000001E-2</v>
      </c>
      <c r="D25" s="354">
        <f>108005000000*0.6275</f>
        <v>67773137499.999992</v>
      </c>
      <c r="E25" s="354">
        <f>112898000000*0.6948</f>
        <v>78441530400</v>
      </c>
      <c r="F25" s="122">
        <f t="shared" si="6"/>
        <v>73107333950</v>
      </c>
      <c r="G25" s="354">
        <f>2769000000*0.6275</f>
        <v>1737547499.9999998</v>
      </c>
      <c r="H25" s="17">
        <f>+F25/G25</f>
        <v>42.075013172301773</v>
      </c>
      <c r="I25" s="42">
        <f>+C25*H25</f>
        <v>0.95931030032848041</v>
      </c>
      <c r="J25" s="43">
        <f>1/(1+C25)^H25</f>
        <v>0.38730700705909987</v>
      </c>
      <c r="K25" s="123">
        <f>(G25*I25)/(1-J25)</f>
        <v>2720525994.6897788</v>
      </c>
      <c r="L25" s="124">
        <f>+K25/G25</f>
        <v>1.5657275525933991</v>
      </c>
      <c r="M25" s="11" t="s">
        <v>484</v>
      </c>
    </row>
    <row r="26" spans="1:14" ht="22.5" customHeight="1">
      <c r="A26" s="59" t="str">
        <f>+'S&amp;D'!A28</f>
        <v>Williams Companys Inc</v>
      </c>
      <c r="B26" s="86" t="str">
        <f>+'S&amp;D'!B28</f>
        <v>WMB</v>
      </c>
      <c r="C26" s="62">
        <f>+'Growth &amp; Inflation Rates'!$D$56</f>
        <v>2.2800000000000001E-2</v>
      </c>
      <c r="D26" s="354">
        <v>62010000000</v>
      </c>
      <c r="E26" s="354">
        <v>38692000000</v>
      </c>
      <c r="F26" s="122">
        <f t="shared" si="6"/>
        <v>50351000000</v>
      </c>
      <c r="G26" s="122">
        <v>2347000000</v>
      </c>
      <c r="H26" s="17">
        <f t="shared" ref="H26" si="7">+F26/G26</f>
        <v>21.453344695355774</v>
      </c>
      <c r="I26" s="42">
        <f t="shared" ref="I26" si="8">+C26*H26</f>
        <v>0.48913625905411168</v>
      </c>
      <c r="J26" s="43">
        <f t="shared" ref="J26" si="9">1/(1+C26)^H26</f>
        <v>0.61653299383968996</v>
      </c>
      <c r="K26" s="123">
        <f t="shared" ref="K26" si="10">(G26*I26)/(1-J26)</f>
        <v>2993745958.7333374</v>
      </c>
      <c r="L26" s="124">
        <f t="shared" ref="L26" si="11">+K26/G26</f>
        <v>1.2755628286038931</v>
      </c>
    </row>
    <row r="27" spans="1:14" ht="22.5" customHeight="1" thickBot="1">
      <c r="A27" s="66"/>
      <c r="B27" s="66"/>
      <c r="C27" s="44"/>
      <c r="D27" s="44"/>
      <c r="E27" s="44"/>
      <c r="F27" s="44"/>
      <c r="G27" s="44" t="s">
        <v>0</v>
      </c>
      <c r="H27" s="44"/>
      <c r="I27" s="44" t="s">
        <v>44</v>
      </c>
      <c r="J27" s="44"/>
      <c r="K27" s="44"/>
      <c r="L27" s="44"/>
    </row>
    <row r="28" spans="1:14" ht="22.5" customHeight="1" thickTop="1">
      <c r="A28" s="11"/>
      <c r="B28" s="11"/>
      <c r="C28" s="45" t="s">
        <v>0</v>
      </c>
      <c r="D28" s="45" t="s">
        <v>0</v>
      </c>
      <c r="E28" s="32" t="s">
        <v>0</v>
      </c>
      <c r="F28" s="32"/>
      <c r="G28" s="45" t="s">
        <v>0</v>
      </c>
      <c r="H28" s="32"/>
      <c r="I28" s="45" t="s">
        <v>0</v>
      </c>
      <c r="J28" s="45" t="s">
        <v>0</v>
      </c>
      <c r="K28" s="13" t="s">
        <v>45</v>
      </c>
      <c r="L28" s="279">
        <f>MAX(L20:L26)</f>
        <v>1.5657275525933991</v>
      </c>
    </row>
    <row r="29" spans="1:14" ht="22.5" customHeight="1">
      <c r="B29" s="11"/>
      <c r="C29" s="45"/>
      <c r="D29" s="45"/>
      <c r="E29" s="32"/>
      <c r="F29" s="32"/>
      <c r="G29" s="45"/>
      <c r="H29" s="32"/>
      <c r="I29" s="45"/>
      <c r="J29" s="45"/>
      <c r="K29" s="303" t="s">
        <v>46</v>
      </c>
      <c r="L29" s="300">
        <f>MIN(L20:L26)</f>
        <v>1.2662411746379347</v>
      </c>
    </row>
    <row r="30" spans="1:14" ht="22.5" customHeight="1">
      <c r="B30" s="11"/>
      <c r="C30" s="11"/>
      <c r="D30" s="11"/>
      <c r="E30" s="11"/>
      <c r="F30" s="11"/>
      <c r="G30" s="11"/>
      <c r="H30" s="11"/>
      <c r="I30" s="11"/>
      <c r="J30" s="11"/>
      <c r="K30" s="13" t="s">
        <v>18</v>
      </c>
      <c r="L30" s="51">
        <f>MEDIAN(L20:L26)</f>
        <v>1.374855937764953</v>
      </c>
    </row>
    <row r="31" spans="1:14" ht="22.5" customHeight="1">
      <c r="A31" s="11" t="s">
        <v>0</v>
      </c>
      <c r="B31" s="11"/>
      <c r="C31" s="11"/>
      <c r="D31" s="11"/>
      <c r="E31" s="11"/>
      <c r="F31" s="11"/>
      <c r="G31" s="11"/>
      <c r="H31" s="11"/>
      <c r="I31" s="11"/>
      <c r="J31" s="11"/>
      <c r="K31" s="13" t="s">
        <v>387</v>
      </c>
      <c r="L31" s="51">
        <f>AVERAGE(L20:L26)</f>
        <v>1.3823900256662791</v>
      </c>
    </row>
    <row r="32" spans="1:14" ht="22.5" customHeight="1" thickBot="1">
      <c r="A32" s="11"/>
      <c r="B32" s="11"/>
      <c r="C32" s="11"/>
      <c r="D32" s="11"/>
      <c r="E32" s="11"/>
      <c r="F32" s="11"/>
      <c r="G32" s="11" t="s">
        <v>0</v>
      </c>
      <c r="H32" s="11"/>
      <c r="I32" s="11"/>
      <c r="J32" s="11"/>
      <c r="K32" s="11"/>
      <c r="L32" s="11"/>
    </row>
    <row r="33" spans="1:12" ht="22.5" customHeight="1" thickBo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77" t="s">
        <v>201</v>
      </c>
      <c r="L33" s="345">
        <v>1.3824000000000001</v>
      </c>
    </row>
    <row r="34" spans="1:12" ht="16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ht="16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ht="16.5">
      <c r="A36" s="11" t="s">
        <v>71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ht="16.5">
      <c r="A37" s="11" t="s">
        <v>246</v>
      </c>
    </row>
    <row r="38" spans="1:12" ht="16.5">
      <c r="A38" s="11"/>
    </row>
    <row r="39" spans="1:12" ht="16.5">
      <c r="A39" s="11" t="s">
        <v>357</v>
      </c>
    </row>
    <row r="40" spans="1:12" ht="20.25">
      <c r="A40" s="206"/>
      <c r="B40" s="206"/>
      <c r="C40" s="206"/>
      <c r="D40" s="206"/>
      <c r="E40" s="206"/>
      <c r="F40" s="206"/>
      <c r="G40" s="206"/>
      <c r="H40" s="206"/>
      <c r="I40" s="206"/>
      <c r="J40" s="206"/>
      <c r="K40" s="206"/>
      <c r="L40" s="206"/>
    </row>
    <row r="41" spans="1:12" ht="26.25">
      <c r="A41" s="22" t="s">
        <v>1</v>
      </c>
      <c r="B41" s="11"/>
      <c r="C41" s="11"/>
      <c r="D41" s="11"/>
      <c r="E41" s="11"/>
      <c r="F41" s="11"/>
      <c r="G41" s="11"/>
      <c r="H41" s="11"/>
      <c r="I41" s="11"/>
      <c r="J41" s="11"/>
      <c r="K41" s="206"/>
      <c r="L41" s="206"/>
    </row>
    <row r="42" spans="1:12" ht="20.25">
      <c r="A42" s="23" t="s">
        <v>9</v>
      </c>
      <c r="B42" s="11"/>
      <c r="C42" s="11"/>
      <c r="D42" s="11"/>
      <c r="E42" s="11"/>
      <c r="F42" s="11"/>
      <c r="G42" s="11"/>
      <c r="H42" s="11"/>
      <c r="I42" s="11"/>
      <c r="J42" s="11"/>
      <c r="K42" s="206"/>
      <c r="L42" s="206"/>
    </row>
    <row r="43" spans="1:12" ht="20.25">
      <c r="A43" s="24" t="s">
        <v>465</v>
      </c>
      <c r="B43" s="11"/>
      <c r="C43" s="11"/>
      <c r="D43" s="11"/>
      <c r="E43" s="11"/>
      <c r="F43" s="11"/>
      <c r="G43" s="11"/>
      <c r="H43" s="11"/>
      <c r="I43" s="11"/>
      <c r="J43" s="11"/>
      <c r="K43" s="206"/>
      <c r="L43" s="206"/>
    </row>
    <row r="44" spans="1:12" ht="20.25">
      <c r="A44" s="24"/>
      <c r="B44" s="11"/>
      <c r="C44" s="11"/>
      <c r="D44" s="11"/>
      <c r="E44" s="11"/>
      <c r="F44" s="11"/>
      <c r="G44" s="11"/>
      <c r="H44" s="11"/>
      <c r="I44" s="11"/>
      <c r="J44" s="11"/>
      <c r="K44" s="206"/>
      <c r="L44" s="206"/>
    </row>
    <row r="45" spans="1:12" ht="20.25">
      <c r="A45" s="24"/>
      <c r="B45" s="11"/>
      <c r="C45" s="11"/>
      <c r="D45" s="11"/>
      <c r="E45" s="11"/>
      <c r="F45" s="11"/>
      <c r="G45" s="11"/>
      <c r="H45" s="11"/>
      <c r="I45" s="11"/>
      <c r="J45" s="11"/>
      <c r="K45" s="206"/>
      <c r="L45" s="206"/>
    </row>
    <row r="46" spans="1:12" ht="20.25">
      <c r="A46" s="24"/>
      <c r="B46" s="11"/>
      <c r="C46" s="11"/>
      <c r="D46" s="11"/>
      <c r="E46" s="11"/>
      <c r="F46" s="11"/>
      <c r="G46" s="11"/>
      <c r="H46" s="11"/>
      <c r="I46" s="11"/>
      <c r="J46" s="11"/>
      <c r="K46" s="206"/>
      <c r="L46" s="206"/>
    </row>
    <row r="47" spans="1:12" ht="21" thickBot="1">
      <c r="B47" s="11"/>
      <c r="C47" s="11"/>
      <c r="D47" s="11"/>
      <c r="E47" s="11"/>
      <c r="F47" s="27"/>
      <c r="G47" s="27"/>
      <c r="H47" s="484" t="s">
        <v>0</v>
      </c>
      <c r="I47" s="11"/>
      <c r="J47" s="11"/>
      <c r="K47" s="206"/>
      <c r="L47" s="206"/>
    </row>
    <row r="48" spans="1:12" ht="26.25">
      <c r="B48" s="11"/>
      <c r="C48" s="11"/>
      <c r="D48" s="11"/>
      <c r="E48" s="11"/>
      <c r="F48" s="11"/>
      <c r="G48" s="29" t="s">
        <v>268</v>
      </c>
      <c r="H48" s="11"/>
      <c r="I48" s="11"/>
      <c r="J48" s="11"/>
      <c r="K48" s="206"/>
      <c r="L48" s="206"/>
    </row>
    <row r="49" spans="1:12" ht="21" thickBot="1">
      <c r="B49" s="38" t="s">
        <v>0</v>
      </c>
      <c r="C49" s="38" t="s">
        <v>0</v>
      </c>
      <c r="D49" s="11"/>
      <c r="E49" s="11"/>
      <c r="F49" s="31" t="s">
        <v>0</v>
      </c>
      <c r="G49" s="34" t="s">
        <v>477</v>
      </c>
      <c r="H49" s="31" t="s">
        <v>0</v>
      </c>
      <c r="I49" s="38" t="s">
        <v>0</v>
      </c>
      <c r="J49" s="11"/>
      <c r="K49" s="206"/>
      <c r="L49" s="206"/>
    </row>
    <row r="50" spans="1:12" ht="20.25">
      <c r="A50" s="206"/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</row>
    <row r="51" spans="1:12" ht="20.25">
      <c r="A51" s="206"/>
      <c r="B51" s="206"/>
      <c r="C51" s="206"/>
      <c r="D51" s="206"/>
      <c r="E51" s="206"/>
      <c r="F51" s="206"/>
      <c r="G51" s="206"/>
      <c r="H51" s="206"/>
      <c r="I51" s="206"/>
      <c r="J51" s="206"/>
      <c r="K51" s="206"/>
      <c r="L51" s="206"/>
    </row>
    <row r="52" spans="1:12" ht="20.25">
      <c r="A52" s="206"/>
      <c r="B52" s="206"/>
      <c r="C52" s="206"/>
      <c r="D52" s="206"/>
      <c r="E52" s="206"/>
      <c r="F52" s="206"/>
      <c r="G52" s="206"/>
      <c r="H52" s="206"/>
      <c r="I52" s="206"/>
      <c r="J52" s="206"/>
      <c r="K52" s="206"/>
      <c r="L52" s="206"/>
    </row>
    <row r="53" spans="1:12" ht="16.5">
      <c r="A53" s="38"/>
      <c r="B53" s="38"/>
      <c r="C53" s="38"/>
      <c r="D53" s="11"/>
      <c r="E53" s="11"/>
      <c r="J53" s="11"/>
      <c r="K53" s="11"/>
      <c r="L53" s="11"/>
    </row>
    <row r="54" spans="1:12" ht="31.5">
      <c r="A54" s="200" t="s">
        <v>257</v>
      </c>
      <c r="B54" s="38"/>
      <c r="C54" s="202" t="s">
        <v>262</v>
      </c>
      <c r="D54" s="11"/>
      <c r="E54" s="11"/>
      <c r="J54" s="11"/>
      <c r="K54" s="11"/>
      <c r="L54" s="11"/>
    </row>
    <row r="55" spans="1:12" ht="31.5">
      <c r="A55" s="200" t="s">
        <v>261</v>
      </c>
      <c r="B55" s="38"/>
      <c r="C55" s="202" t="s">
        <v>267</v>
      </c>
      <c r="D55" s="11"/>
      <c r="E55" s="11"/>
      <c r="J55" s="11"/>
      <c r="K55" s="11"/>
      <c r="L55" s="11"/>
    </row>
    <row r="56" spans="1:12" ht="17.25">
      <c r="A56" s="201" t="s">
        <v>258</v>
      </c>
      <c r="B56" s="38"/>
      <c r="C56" s="38"/>
      <c r="D56" s="11"/>
      <c r="E56" s="11"/>
      <c r="J56" s="11"/>
      <c r="K56" s="11"/>
      <c r="L56" s="11"/>
    </row>
    <row r="57" spans="1:12" ht="17.25">
      <c r="A57" s="201" t="s">
        <v>259</v>
      </c>
      <c r="B57" s="38"/>
      <c r="C57" s="38"/>
      <c r="D57" s="11"/>
      <c r="E57" s="11"/>
      <c r="J57" s="11"/>
      <c r="K57" s="11"/>
      <c r="L57" s="11"/>
    </row>
    <row r="58" spans="1:12" ht="17.25">
      <c r="A58" s="201" t="s">
        <v>260</v>
      </c>
      <c r="B58" s="38"/>
      <c r="C58" s="38"/>
      <c r="D58" s="11"/>
      <c r="E58" s="11"/>
      <c r="J58" s="11"/>
      <c r="K58" s="11"/>
      <c r="L58" s="11"/>
    </row>
    <row r="64" spans="1:12" ht="31.5">
      <c r="A64" s="203" t="s">
        <v>266</v>
      </c>
      <c r="B64" s="102"/>
      <c r="C64" s="102"/>
      <c r="D64" s="102"/>
      <c r="E64" s="102"/>
      <c r="F64" s="102"/>
      <c r="G64" s="11"/>
      <c r="H64" s="11"/>
      <c r="I64" s="11"/>
    </row>
    <row r="65" spans="1:9" ht="17.25">
      <c r="A65" s="102"/>
      <c r="B65" s="102"/>
      <c r="C65" s="102"/>
      <c r="D65" s="102"/>
      <c r="E65" s="102"/>
      <c r="F65" s="102"/>
      <c r="G65" s="11"/>
      <c r="H65" s="11"/>
      <c r="I65" s="11"/>
    </row>
    <row r="66" spans="1:9" ht="18" thickBot="1">
      <c r="A66" s="204" t="s">
        <v>263</v>
      </c>
      <c r="B66" s="103"/>
      <c r="C66" s="103"/>
      <c r="D66" s="205" t="s">
        <v>265</v>
      </c>
      <c r="E66" s="103"/>
      <c r="F66" s="102"/>
      <c r="G66" s="11"/>
      <c r="H66" s="11"/>
      <c r="I66" s="11"/>
    </row>
    <row r="67" spans="1:9" ht="17.25">
      <c r="A67" s="102"/>
      <c r="B67" s="102"/>
      <c r="C67" s="102"/>
      <c r="D67" s="102" t="s">
        <v>264</v>
      </c>
      <c r="E67" s="102"/>
      <c r="F67" s="102"/>
      <c r="G67" s="11"/>
      <c r="H67" s="11"/>
      <c r="I67" s="11"/>
    </row>
    <row r="68" spans="1:9" ht="17.25">
      <c r="A68" s="102"/>
      <c r="B68" s="102"/>
      <c r="C68" s="102"/>
      <c r="D68" s="102"/>
      <c r="E68" s="102"/>
      <c r="F68" s="102"/>
      <c r="G68" s="11"/>
      <c r="H68" s="11"/>
      <c r="I68" s="11"/>
    </row>
    <row r="69" spans="1:9" ht="16.5">
      <c r="A69" s="11"/>
      <c r="B69" s="11"/>
      <c r="C69" s="11"/>
      <c r="D69" s="11"/>
      <c r="E69" s="11"/>
      <c r="F69" s="11"/>
      <c r="G69" s="11"/>
      <c r="H69" s="11"/>
      <c r="I69" s="11"/>
    </row>
    <row r="70" spans="1:9" ht="16.5">
      <c r="A70" s="11"/>
      <c r="B70" s="11"/>
      <c r="C70" s="11"/>
      <c r="D70" s="11"/>
      <c r="E70" s="11"/>
      <c r="F70" s="11"/>
      <c r="G70" s="11"/>
      <c r="H70" s="11"/>
      <c r="I70" s="11"/>
    </row>
    <row r="71" spans="1:9" ht="16.5">
      <c r="A71" s="11"/>
      <c r="B71" s="11"/>
      <c r="C71" s="11"/>
      <c r="D71" s="11"/>
      <c r="E71" s="11"/>
      <c r="F71" s="11"/>
      <c r="G71" s="11"/>
      <c r="H71" s="11"/>
      <c r="I71" s="11"/>
    </row>
    <row r="72" spans="1:9" ht="16.5">
      <c r="A72" s="11"/>
      <c r="B72" s="11"/>
      <c r="C72" s="11"/>
      <c r="D72" s="11"/>
      <c r="E72" s="11"/>
      <c r="F72" s="11"/>
      <c r="G72" s="11"/>
      <c r="H72" s="11"/>
      <c r="I72" s="11"/>
    </row>
    <row r="73" spans="1:9" ht="16.5">
      <c r="A73" s="11"/>
      <c r="B73" s="11"/>
      <c r="C73" s="11"/>
      <c r="D73" s="11"/>
      <c r="E73" s="11"/>
      <c r="F73" s="11"/>
      <c r="G73" s="11"/>
      <c r="H73" s="11"/>
      <c r="I73" s="11"/>
    </row>
    <row r="74" spans="1:9" ht="16.5">
      <c r="A74" s="11" t="s">
        <v>0</v>
      </c>
      <c r="B74" s="11"/>
      <c r="C74" s="11"/>
      <c r="D74" s="11"/>
      <c r="E74" s="11"/>
      <c r="F74" s="11"/>
      <c r="G74" s="11"/>
      <c r="H74" s="11"/>
      <c r="I74" s="11"/>
    </row>
    <row r="75" spans="1:9" ht="16.5">
      <c r="A75" s="11"/>
      <c r="B75" s="11"/>
      <c r="C75" s="11"/>
      <c r="D75" s="11"/>
      <c r="E75" s="11"/>
      <c r="F75" s="11"/>
      <c r="G75" s="11"/>
      <c r="H75" s="11"/>
      <c r="I75" s="11"/>
    </row>
  </sheetData>
  <pageMargins left="0.25" right="0.25" top="0.75" bottom="0.75" header="0.3" footer="0.3"/>
  <pageSetup scale="51" orientation="landscape" r:id="rId1"/>
  <rowBreaks count="1" manualBreakCount="1">
    <brk id="39" max="11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9DCF-8362-451B-93E3-8D44BC877730}">
  <sheetPr>
    <tabColor rgb="FF92D050"/>
  </sheetPr>
  <dimension ref="A1:I34"/>
  <sheetViews>
    <sheetView view="pageBreakPreview" zoomScale="60" zoomScaleNormal="80" workbookViewId="0">
      <selection activeCell="F21" activeCellId="2" sqref="F18 D19 F21"/>
    </sheetView>
  </sheetViews>
  <sheetFormatPr defaultRowHeight="15"/>
  <cols>
    <col min="1" max="1" width="45.140625" customWidth="1"/>
    <col min="2" max="2" width="17" customWidth="1"/>
    <col min="3" max="3" width="30.140625" customWidth="1"/>
    <col min="4" max="4" width="20.140625" customWidth="1"/>
    <col min="5" max="5" width="24.5703125" customWidth="1"/>
    <col min="6" max="6" width="23.5703125" customWidth="1"/>
    <col min="7" max="7" width="21.28515625" customWidth="1"/>
    <col min="8" max="8" width="19.7109375" customWidth="1"/>
    <col min="9" max="9" width="28.28515625" customWidth="1"/>
    <col min="10" max="10" width="14.140625" bestFit="1" customWidth="1"/>
    <col min="12" max="12" width="10.5703125" customWidth="1"/>
  </cols>
  <sheetData>
    <row r="1" spans="1:9" ht="26.25">
      <c r="A1" s="22" t="s">
        <v>1</v>
      </c>
      <c r="B1" s="11"/>
      <c r="C1" s="11"/>
      <c r="D1" s="11"/>
      <c r="E1" s="11"/>
      <c r="F1" s="11"/>
      <c r="G1" s="11"/>
      <c r="H1" s="11"/>
      <c r="I1" s="11"/>
    </row>
    <row r="2" spans="1:9" ht="17.25">
      <c r="A2" s="23" t="s">
        <v>9</v>
      </c>
      <c r="B2" s="11"/>
      <c r="C2" s="11"/>
      <c r="D2" s="11"/>
      <c r="E2" s="11"/>
      <c r="F2" s="11"/>
      <c r="G2" s="11"/>
      <c r="H2" s="11"/>
      <c r="I2" s="11"/>
    </row>
    <row r="3" spans="1:9" ht="16.5">
      <c r="A3" s="24" t="s">
        <v>465</v>
      </c>
      <c r="B3" s="11"/>
      <c r="C3" s="11"/>
      <c r="D3" s="11"/>
      <c r="E3" s="11"/>
      <c r="F3" s="11"/>
      <c r="G3" s="11"/>
      <c r="H3" s="11"/>
      <c r="I3" s="11"/>
    </row>
    <row r="4" spans="1:9" ht="16.5">
      <c r="A4" s="24"/>
      <c r="B4" s="11"/>
      <c r="C4" s="11"/>
      <c r="D4" s="11"/>
      <c r="E4" s="11"/>
      <c r="F4" s="11"/>
      <c r="G4" s="11"/>
      <c r="H4" s="11"/>
      <c r="I4" s="11"/>
    </row>
    <row r="5" spans="1:9" ht="16.5">
      <c r="A5" s="24"/>
      <c r="B5" s="11"/>
      <c r="C5" s="11"/>
      <c r="D5" s="11"/>
      <c r="E5" s="11"/>
      <c r="F5" s="11"/>
      <c r="G5" s="11"/>
      <c r="H5" s="11"/>
      <c r="I5" s="11"/>
    </row>
    <row r="6" spans="1:9" ht="16.5">
      <c r="A6" s="24"/>
      <c r="B6" s="11"/>
      <c r="C6" s="11"/>
      <c r="D6" s="11"/>
      <c r="E6" s="11"/>
      <c r="F6" s="11"/>
      <c r="G6" s="11"/>
      <c r="H6" s="11"/>
      <c r="I6" s="11"/>
    </row>
    <row r="7" spans="1:9" ht="17.25" thickBot="1">
      <c r="A7" s="11"/>
      <c r="B7" s="11"/>
      <c r="C7" s="11"/>
      <c r="H7" s="25"/>
      <c r="I7" s="11"/>
    </row>
    <row r="8" spans="1:9" ht="21" thickBot="1">
      <c r="A8" s="234" t="str">
        <f>+'S&amp;D'!A12</f>
        <v>Natural Gas Transmission Pipeline Carrier</v>
      </c>
      <c r="B8" s="170"/>
      <c r="C8" s="11"/>
      <c r="D8" s="27"/>
      <c r="E8" s="27"/>
      <c r="F8" s="27"/>
      <c r="H8" s="11"/>
      <c r="I8" s="11"/>
    </row>
    <row r="9" spans="1:9" ht="26.25">
      <c r="A9" s="28"/>
      <c r="B9" s="11"/>
      <c r="C9" s="11"/>
      <c r="D9" s="11"/>
      <c r="E9" s="29" t="s">
        <v>117</v>
      </c>
      <c r="F9" s="29"/>
      <c r="H9" s="11"/>
      <c r="I9" s="11"/>
    </row>
    <row r="10" spans="1:9" ht="21" thickBot="1">
      <c r="A10" s="28"/>
      <c r="B10" s="11"/>
      <c r="C10" s="11"/>
      <c r="D10" s="27"/>
      <c r="E10" s="34" t="s">
        <v>477</v>
      </c>
      <c r="F10" s="34"/>
      <c r="H10" s="11"/>
      <c r="I10" s="11"/>
    </row>
    <row r="11" spans="1:9" ht="20.25">
      <c r="A11" s="28"/>
      <c r="B11" s="11"/>
      <c r="I11" s="11"/>
    </row>
    <row r="12" spans="1:9" ht="17.25" thickBot="1">
      <c r="A12" s="31" t="s">
        <v>0</v>
      </c>
      <c r="B12" s="31" t="s">
        <v>0</v>
      </c>
      <c r="C12" s="31" t="s">
        <v>0</v>
      </c>
      <c r="D12" s="31" t="s">
        <v>0</v>
      </c>
      <c r="E12" s="31" t="s">
        <v>0</v>
      </c>
      <c r="F12" s="31"/>
      <c r="G12" s="31"/>
      <c r="H12" s="27"/>
      <c r="I12" s="27"/>
    </row>
    <row r="13" spans="1:9" ht="17.25">
      <c r="A13" s="86" t="s">
        <v>0</v>
      </c>
      <c r="B13" s="86" t="s">
        <v>3</v>
      </c>
      <c r="C13" s="86" t="s">
        <v>5</v>
      </c>
      <c r="D13" s="86" t="s">
        <v>160</v>
      </c>
      <c r="E13" s="160" t="s">
        <v>220</v>
      </c>
      <c r="F13" s="160" t="s">
        <v>311</v>
      </c>
      <c r="G13" s="86" t="s">
        <v>20</v>
      </c>
      <c r="H13" s="86" t="s">
        <v>138</v>
      </c>
      <c r="I13" s="86" t="s">
        <v>138</v>
      </c>
    </row>
    <row r="14" spans="1:9" ht="18" thickBot="1">
      <c r="A14" s="93" t="s">
        <v>2</v>
      </c>
      <c r="B14" s="93" t="s">
        <v>4</v>
      </c>
      <c r="C14" s="93" t="s">
        <v>6</v>
      </c>
      <c r="D14" s="93" t="s">
        <v>23</v>
      </c>
      <c r="E14" s="93" t="s">
        <v>312</v>
      </c>
      <c r="F14" s="93" t="s">
        <v>182</v>
      </c>
      <c r="G14" s="93" t="s">
        <v>22</v>
      </c>
      <c r="H14" s="93" t="s">
        <v>160</v>
      </c>
      <c r="I14" s="93" t="s">
        <v>115</v>
      </c>
    </row>
    <row r="15" spans="1:9">
      <c r="A15" s="36" t="s">
        <v>7</v>
      </c>
      <c r="B15" s="36" t="s">
        <v>7</v>
      </c>
      <c r="C15" s="36" t="s">
        <v>7</v>
      </c>
      <c r="D15" s="36" t="s">
        <v>7</v>
      </c>
      <c r="E15" s="197" t="s">
        <v>458</v>
      </c>
      <c r="F15" s="197" t="s">
        <v>458</v>
      </c>
      <c r="G15" s="36" t="s">
        <v>7</v>
      </c>
      <c r="H15" s="36" t="s">
        <v>7</v>
      </c>
      <c r="I15" s="197" t="s">
        <v>458</v>
      </c>
    </row>
    <row r="16" spans="1:9" ht="17.25" thickBot="1">
      <c r="A16" s="32"/>
      <c r="B16" s="32"/>
      <c r="C16" s="32"/>
      <c r="D16" s="32"/>
      <c r="G16" s="32"/>
      <c r="H16" s="32"/>
      <c r="I16" s="32"/>
    </row>
    <row r="17" spans="1:9" ht="16.5">
      <c r="A17" s="139"/>
      <c r="B17" s="106"/>
      <c r="C17" s="106"/>
      <c r="D17" s="106"/>
      <c r="E17" s="276"/>
      <c r="F17" s="276"/>
      <c r="G17" s="106"/>
      <c r="H17" s="106"/>
      <c r="I17" s="140"/>
    </row>
    <row r="18" spans="1:9" ht="20.25" customHeight="1">
      <c r="A18" s="98" t="str">
        <f>+'S&amp;D'!A22</f>
        <v>Enbridge Inc</v>
      </c>
      <c r="B18" s="86" t="str">
        <f>+'S&amp;D'!B22</f>
        <v>ENB.TO</v>
      </c>
      <c r="C18" s="86" t="str">
        <f>+'S&amp;D'!C22</f>
        <v>Oil &amp; Gas Distribution</v>
      </c>
      <c r="D18" s="231">
        <v>0.15</v>
      </c>
      <c r="E18" s="231">
        <v>8.5000000000000006E-2</v>
      </c>
      <c r="F18" s="485" t="s">
        <v>485</v>
      </c>
      <c r="G18" s="86" t="s">
        <v>496</v>
      </c>
      <c r="H18" s="336">
        <v>0.75</v>
      </c>
      <c r="I18" s="336">
        <v>0.7</v>
      </c>
    </row>
    <row r="19" spans="1:9" ht="20.25" customHeight="1">
      <c r="A19" s="98" t="str">
        <f>+'S&amp;D'!A23</f>
        <v>Energy Transfer LP</v>
      </c>
      <c r="B19" s="86" t="str">
        <f>+'S&amp;D'!B23</f>
        <v>ET</v>
      </c>
      <c r="C19" s="86" t="str">
        <f>+'S&amp;D'!C23</f>
        <v>Pipeline MLPs</v>
      </c>
      <c r="D19" s="485">
        <v>0.08</v>
      </c>
      <c r="E19" s="231">
        <v>0.14000000000000001</v>
      </c>
      <c r="F19" s="231">
        <v>5.0000000000000001E-3</v>
      </c>
      <c r="G19" s="86" t="s">
        <v>496</v>
      </c>
      <c r="H19" s="336">
        <v>1.1000000000000001</v>
      </c>
      <c r="I19" s="336">
        <v>1.05</v>
      </c>
    </row>
    <row r="20" spans="1:9" ht="20.25" customHeight="1">
      <c r="A20" s="98" t="str">
        <f>+'S&amp;D'!A24</f>
        <v>Enterprise Products Partnership LP</v>
      </c>
      <c r="B20" s="86" t="str">
        <f>+'S&amp;D'!B24</f>
        <v>EPD</v>
      </c>
      <c r="C20" s="86" t="str">
        <f>+'S&amp;D'!C24</f>
        <v>Pipeline MLPs</v>
      </c>
      <c r="D20" s="231">
        <v>1.4999999999999999E-2</v>
      </c>
      <c r="E20" s="231">
        <v>0.2</v>
      </c>
      <c r="F20" s="231">
        <v>0.04</v>
      </c>
      <c r="G20" s="86" t="s">
        <v>24</v>
      </c>
      <c r="H20" s="336">
        <v>1</v>
      </c>
      <c r="I20" s="336">
        <v>0.85</v>
      </c>
    </row>
    <row r="21" spans="1:9" ht="20.25" customHeight="1">
      <c r="A21" s="98" t="str">
        <f>+'S&amp;D'!A25</f>
        <v>Kinder Morgan Inc</v>
      </c>
      <c r="B21" s="86" t="str">
        <f>+'S&amp;D'!B25</f>
        <v>KMI</v>
      </c>
      <c r="C21" s="86" t="str">
        <f>+'S&amp;D'!C25</f>
        <v>Oil &amp; Gas Distribution</v>
      </c>
      <c r="D21" s="231">
        <v>0.21</v>
      </c>
      <c r="E21" s="231">
        <v>0.1</v>
      </c>
      <c r="F21" s="485">
        <v>1.4999999999999999E-2</v>
      </c>
      <c r="G21" s="86" t="s">
        <v>496</v>
      </c>
      <c r="H21" s="336">
        <v>1.05</v>
      </c>
      <c r="I21" s="336">
        <v>1</v>
      </c>
    </row>
    <row r="22" spans="1:9" ht="20.25" customHeight="1">
      <c r="A22" s="98" t="str">
        <f>+'S&amp;D'!A26</f>
        <v>ONEOK Inc</v>
      </c>
      <c r="B22" s="86" t="str">
        <f>+'S&amp;D'!B26</f>
        <v>OKE</v>
      </c>
      <c r="C22" s="86" t="str">
        <f>+'S&amp;D'!C26</f>
        <v>Oil &amp; Gas Distribution</v>
      </c>
      <c r="D22" s="231">
        <v>0.21</v>
      </c>
      <c r="E22" s="231">
        <v>0.16500000000000001</v>
      </c>
      <c r="F22" s="231">
        <v>0.05</v>
      </c>
      <c r="G22" s="86" t="s">
        <v>496</v>
      </c>
      <c r="H22" s="336">
        <v>1.4</v>
      </c>
      <c r="I22" s="336">
        <v>1.3</v>
      </c>
    </row>
    <row r="23" spans="1:9" ht="20.25" customHeight="1">
      <c r="A23" s="98" t="str">
        <f>+'S&amp;D'!A27</f>
        <v>TC Energy Corp</v>
      </c>
      <c r="B23" s="86" t="str">
        <f>+'S&amp;D'!B27</f>
        <v>TRP</v>
      </c>
      <c r="C23" s="86" t="str">
        <f>+'S&amp;D'!C27</f>
        <v>Oil &amp; Gas Distribution</v>
      </c>
      <c r="D23" s="231">
        <v>0.21</v>
      </c>
      <c r="E23" s="231">
        <v>0.14000000000000001</v>
      </c>
      <c r="F23" s="231">
        <v>0.03</v>
      </c>
      <c r="G23" s="86" t="s">
        <v>496</v>
      </c>
      <c r="H23" s="336">
        <v>0.95</v>
      </c>
      <c r="I23" s="336">
        <v>0.9</v>
      </c>
    </row>
    <row r="24" spans="1:9" ht="20.25" customHeight="1" thickBot="1">
      <c r="A24" s="98" t="str">
        <f>+'S&amp;D'!A28</f>
        <v>Williams Companys Inc</v>
      </c>
      <c r="B24" s="86" t="str">
        <f>+'S&amp;D'!B28</f>
        <v>WMB</v>
      </c>
      <c r="C24" s="86" t="str">
        <f>+'S&amp;D'!C28</f>
        <v>Oil &amp; Gas Distribution</v>
      </c>
      <c r="D24" s="231">
        <v>0.21</v>
      </c>
      <c r="E24" s="231">
        <v>0.245</v>
      </c>
      <c r="F24" s="231">
        <v>0.03</v>
      </c>
      <c r="G24" s="86" t="s">
        <v>496</v>
      </c>
      <c r="H24" s="337">
        <v>0.95</v>
      </c>
      <c r="I24" s="337">
        <v>0.9</v>
      </c>
    </row>
    <row r="25" spans="1:9" ht="20.25" customHeight="1" thickTop="1">
      <c r="A25" s="102"/>
      <c r="B25" s="102"/>
      <c r="C25" s="4"/>
      <c r="D25" s="154" t="s">
        <v>0</v>
      </c>
      <c r="E25" s="4"/>
      <c r="F25" s="4"/>
      <c r="G25" s="112" t="s">
        <v>45</v>
      </c>
      <c r="H25" s="155">
        <f>MAX(H18:H24)</f>
        <v>1.4</v>
      </c>
      <c r="I25" s="156">
        <f>MAX(I18:I24)</f>
        <v>1.3</v>
      </c>
    </row>
    <row r="26" spans="1:9" ht="20.25" customHeight="1">
      <c r="A26" s="102"/>
      <c r="B26" s="102"/>
      <c r="C26" s="4"/>
      <c r="D26" s="154" t="s">
        <v>0</v>
      </c>
      <c r="E26" s="4"/>
      <c r="F26" s="4"/>
      <c r="G26" s="112" t="s">
        <v>46</v>
      </c>
      <c r="H26" s="301">
        <f>MIN(H18:H24)</f>
        <v>0.75</v>
      </c>
      <c r="I26" s="302">
        <f>MIN(I18:I24)</f>
        <v>0.7</v>
      </c>
    </row>
    <row r="27" spans="1:9" ht="20.25" customHeight="1">
      <c r="A27" s="102"/>
      <c r="B27" s="102"/>
      <c r="C27" s="4"/>
      <c r="D27" s="157" t="s">
        <v>0</v>
      </c>
      <c r="E27" s="4"/>
      <c r="F27" s="4"/>
      <c r="G27" s="112" t="s">
        <v>18</v>
      </c>
      <c r="H27" s="158">
        <f>MEDIAN(H18:H24)</f>
        <v>1</v>
      </c>
      <c r="I27" s="158">
        <f>MEDIAN(I18:I24)</f>
        <v>0.9</v>
      </c>
    </row>
    <row r="28" spans="1:9" ht="20.25" customHeight="1">
      <c r="A28" s="102"/>
      <c r="B28" s="102"/>
      <c r="C28" s="4"/>
      <c r="D28" s="115" t="s">
        <v>0</v>
      </c>
      <c r="E28" s="4"/>
      <c r="F28" s="4"/>
      <c r="G28" s="112" t="s">
        <v>387</v>
      </c>
      <c r="H28" s="159">
        <f>AVERAGE(H18:H24)</f>
        <v>1.0285714285714287</v>
      </c>
      <c r="I28" s="159">
        <f>AVERAGE(I18:I24)</f>
        <v>0.9571428571428573</v>
      </c>
    </row>
    <row r="29" spans="1:9" ht="20.25" customHeight="1" thickBot="1">
      <c r="A29" s="11"/>
      <c r="B29" s="11"/>
      <c r="C29" s="11"/>
      <c r="D29" s="11" t="s">
        <v>0</v>
      </c>
      <c r="G29" s="11"/>
      <c r="H29" s="11"/>
      <c r="I29" s="11"/>
    </row>
    <row r="30" spans="1:9" ht="20.25" customHeight="1" thickBot="1">
      <c r="A30" s="11"/>
      <c r="B30" s="11"/>
      <c r="C30" s="11"/>
      <c r="D30" s="11"/>
      <c r="G30" s="11"/>
      <c r="H30" s="177" t="s">
        <v>73</v>
      </c>
      <c r="I30" s="275">
        <v>0.96</v>
      </c>
    </row>
    <row r="31" spans="1:9" ht="20.25" customHeight="1">
      <c r="A31" s="11"/>
      <c r="B31" s="11"/>
      <c r="C31" s="11"/>
      <c r="D31" s="11"/>
      <c r="G31" s="11"/>
      <c r="H31" s="65"/>
      <c r="I31" s="252"/>
    </row>
    <row r="32" spans="1:9" ht="20.25" customHeight="1">
      <c r="A32" s="11"/>
      <c r="B32" s="11"/>
      <c r="C32" s="11"/>
      <c r="D32" s="11"/>
      <c r="G32" s="11"/>
      <c r="H32" s="65"/>
      <c r="I32" s="252"/>
    </row>
    <row r="33" spans="1:1" ht="17.25">
      <c r="A33" s="102" t="s">
        <v>314</v>
      </c>
    </row>
    <row r="34" spans="1:1" ht="17.25">
      <c r="A34" s="102" t="s">
        <v>313</v>
      </c>
    </row>
  </sheetData>
  <pageMargins left="0.25" right="0.25" top="0.75" bottom="0.75" header="0.3" footer="0.3"/>
  <pageSetup scale="5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F0854-9225-4685-BC0B-402957CF1047}">
  <sheetPr>
    <tabColor rgb="FF92D050"/>
  </sheetPr>
  <dimension ref="A1:K30"/>
  <sheetViews>
    <sheetView view="pageBreakPreview" topLeftCell="A5" zoomScale="60" zoomScaleNormal="80" workbookViewId="0">
      <selection activeCell="F6" sqref="F6"/>
    </sheetView>
  </sheetViews>
  <sheetFormatPr defaultRowHeight="15"/>
  <cols>
    <col min="1" max="1" width="50.42578125" customWidth="1"/>
    <col min="2" max="2" width="10.85546875" bestFit="1" customWidth="1"/>
    <col min="3" max="3" width="29.7109375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2" t="s">
        <v>1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17.25">
      <c r="A2" s="23" t="s">
        <v>9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ht="16.5">
      <c r="A3" s="24" t="s">
        <v>465</v>
      </c>
      <c r="B3" s="11"/>
      <c r="C3" s="11"/>
      <c r="D3" s="11"/>
      <c r="E3" s="11"/>
      <c r="F3" s="11"/>
      <c r="G3" s="11"/>
      <c r="H3" s="11"/>
      <c r="I3" s="11"/>
      <c r="J3" s="11"/>
    </row>
    <row r="4" spans="1:11" ht="16.5">
      <c r="A4" s="24"/>
      <c r="B4" s="11"/>
      <c r="C4" s="11"/>
      <c r="D4" s="11"/>
      <c r="E4" s="11"/>
      <c r="F4" s="11"/>
      <c r="G4" s="11"/>
      <c r="H4" s="11"/>
      <c r="I4" s="11"/>
      <c r="J4" s="11"/>
    </row>
    <row r="5" spans="1:11" ht="17.25" thickBot="1">
      <c r="A5" s="11"/>
      <c r="B5" s="11"/>
      <c r="C5" s="11"/>
      <c r="D5" s="11"/>
      <c r="E5" s="11"/>
      <c r="F5" s="11"/>
      <c r="G5" s="25"/>
      <c r="H5" s="11"/>
      <c r="I5" s="11"/>
      <c r="J5" s="11"/>
    </row>
    <row r="6" spans="1:11" ht="21" thickBot="1">
      <c r="A6" s="234" t="str">
        <f>+'S&amp;D'!A12</f>
        <v>Natural Gas Transmission Pipeline Carrier</v>
      </c>
      <c r="B6" s="170"/>
      <c r="C6" s="11"/>
      <c r="D6" s="27"/>
      <c r="E6" s="27"/>
      <c r="F6" s="484" t="s">
        <v>0</v>
      </c>
      <c r="G6" s="11"/>
      <c r="H6" s="11"/>
      <c r="I6" s="11"/>
      <c r="J6" s="11"/>
    </row>
    <row r="7" spans="1:11" ht="26.25">
      <c r="A7" s="28"/>
      <c r="B7" s="11"/>
      <c r="C7" s="11"/>
      <c r="D7" s="11"/>
      <c r="E7" s="29" t="s">
        <v>161</v>
      </c>
      <c r="F7" s="11"/>
      <c r="G7" s="11"/>
      <c r="H7" s="11"/>
      <c r="I7" s="11"/>
      <c r="J7" s="11"/>
    </row>
    <row r="8" spans="1:11" ht="21" thickBot="1">
      <c r="A8" s="28"/>
      <c r="B8" s="11"/>
      <c r="C8" s="11"/>
      <c r="D8" s="27"/>
      <c r="E8" s="30" t="s">
        <v>477</v>
      </c>
      <c r="F8" s="27"/>
      <c r="G8" s="11"/>
      <c r="H8" s="11"/>
      <c r="I8" s="11"/>
      <c r="J8" s="11"/>
    </row>
    <row r="9" spans="1:11" ht="17.25" thickBot="1">
      <c r="A9" s="31" t="s">
        <v>0</v>
      </c>
      <c r="B9" s="31" t="s">
        <v>0</v>
      </c>
      <c r="C9" s="31" t="s">
        <v>0</v>
      </c>
      <c r="D9" s="31" t="s">
        <v>0</v>
      </c>
      <c r="E9" s="31" t="s">
        <v>0</v>
      </c>
      <c r="F9" s="31"/>
      <c r="G9" s="27"/>
      <c r="H9" s="27"/>
      <c r="I9" s="27"/>
      <c r="J9" s="27"/>
      <c r="K9" s="137"/>
    </row>
    <row r="10" spans="1:11" ht="16.5">
      <c r="A10" s="32" t="s">
        <v>0</v>
      </c>
      <c r="B10" s="32" t="s">
        <v>3</v>
      </c>
      <c r="C10" s="32" t="s">
        <v>5</v>
      </c>
      <c r="D10" s="32" t="s">
        <v>156</v>
      </c>
      <c r="E10" s="32" t="s">
        <v>157</v>
      </c>
      <c r="F10" s="32" t="s">
        <v>159</v>
      </c>
      <c r="G10" s="32" t="s">
        <v>157</v>
      </c>
      <c r="H10" s="32" t="s">
        <v>159</v>
      </c>
      <c r="I10" s="32" t="s">
        <v>157</v>
      </c>
      <c r="J10" s="32" t="s">
        <v>159</v>
      </c>
      <c r="K10" s="32" t="s">
        <v>250</v>
      </c>
    </row>
    <row r="11" spans="1:11" ht="16.5">
      <c r="A11" s="32"/>
      <c r="B11" s="32" t="s">
        <v>4</v>
      </c>
      <c r="C11" s="32" t="s">
        <v>6</v>
      </c>
      <c r="D11" s="32" t="s">
        <v>27</v>
      </c>
      <c r="E11" s="32" t="s">
        <v>158</v>
      </c>
      <c r="F11" s="32" t="s">
        <v>116</v>
      </c>
      <c r="G11" s="32" t="s">
        <v>158</v>
      </c>
      <c r="H11" s="32" t="s">
        <v>116</v>
      </c>
      <c r="I11" s="32" t="s">
        <v>158</v>
      </c>
      <c r="J11" s="32" t="s">
        <v>116</v>
      </c>
      <c r="K11" s="32" t="s">
        <v>174</v>
      </c>
    </row>
    <row r="12" spans="1:11" ht="17.25" thickBot="1">
      <c r="A12" s="34" t="s">
        <v>2</v>
      </c>
      <c r="B12" s="34" t="s">
        <v>0</v>
      </c>
      <c r="C12" s="34" t="s">
        <v>0</v>
      </c>
      <c r="D12" s="34" t="s">
        <v>0</v>
      </c>
      <c r="E12" s="34" t="s">
        <v>160</v>
      </c>
      <c r="F12" s="34" t="s">
        <v>160</v>
      </c>
      <c r="G12" s="34" t="s">
        <v>248</v>
      </c>
      <c r="H12" s="34" t="s">
        <v>248</v>
      </c>
      <c r="I12" s="34" t="s">
        <v>249</v>
      </c>
      <c r="J12" s="34" t="s">
        <v>249</v>
      </c>
      <c r="K12" s="198" t="s">
        <v>251</v>
      </c>
    </row>
    <row r="13" spans="1:11">
      <c r="A13" s="36" t="s">
        <v>7</v>
      </c>
      <c r="B13" s="36" t="s">
        <v>7</v>
      </c>
      <c r="C13" s="36" t="s">
        <v>7</v>
      </c>
      <c r="D13" s="37" t="s">
        <v>112</v>
      </c>
      <c r="E13" s="36" t="s">
        <v>7</v>
      </c>
      <c r="F13" s="36" t="s">
        <v>15</v>
      </c>
      <c r="G13" s="36" t="s">
        <v>7</v>
      </c>
      <c r="H13" s="36" t="s">
        <v>15</v>
      </c>
      <c r="I13" s="36" t="s">
        <v>7</v>
      </c>
      <c r="J13" s="36" t="s">
        <v>15</v>
      </c>
      <c r="K13" s="36" t="s">
        <v>15</v>
      </c>
    </row>
    <row r="14" spans="1:11" ht="16.5">
      <c r="A14" s="32"/>
      <c r="B14" s="32"/>
      <c r="C14" s="32"/>
      <c r="D14" s="32"/>
      <c r="E14" s="32"/>
      <c r="F14" s="32"/>
      <c r="G14" s="11"/>
      <c r="H14" s="11"/>
      <c r="I14" s="11"/>
      <c r="J14" s="11"/>
      <c r="K14" s="11"/>
    </row>
    <row r="15" spans="1:11" ht="16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17.25">
      <c r="A16" s="59" t="str">
        <f>+'S&amp;D'!A22</f>
        <v>Enbridge Inc</v>
      </c>
      <c r="B16" s="86" t="str">
        <f>+'S&amp;D'!B22</f>
        <v>ENB.TO</v>
      </c>
      <c r="C16" s="86" t="str">
        <f>+'S&amp;D'!C22</f>
        <v>Oil &amp; Gas Distribution</v>
      </c>
      <c r="D16" s="56">
        <f>+'S&amp;D'!G22</f>
        <v>65.680000000000007</v>
      </c>
      <c r="E16" s="321">
        <v>3.9</v>
      </c>
      <c r="F16" s="50">
        <f t="shared" ref="F16:F19" si="0">+E16/D16</f>
        <v>5.9378806333739334E-2</v>
      </c>
      <c r="G16" s="321">
        <v>3.9</v>
      </c>
      <c r="H16" s="50">
        <f t="shared" ref="H16:H19" si="1">+G16/D16</f>
        <v>5.9378806333739334E-2</v>
      </c>
      <c r="I16" s="321">
        <v>4</v>
      </c>
      <c r="J16" s="50">
        <f t="shared" ref="J16:J19" si="2">+I16/D16</f>
        <v>6.0901339829476243E-2</v>
      </c>
      <c r="K16" s="338">
        <f t="shared" ref="K16:K19" si="3">RATE(3,,-G16,I16)</f>
        <v>8.4749803491257075E-3</v>
      </c>
    </row>
    <row r="17" spans="1:11" ht="17.25">
      <c r="A17" s="59" t="str">
        <f>+'S&amp;D'!A23</f>
        <v>Energy Transfer LP</v>
      </c>
      <c r="B17" s="86" t="str">
        <f>+'S&amp;D'!B23</f>
        <v>ET</v>
      </c>
      <c r="C17" s="86" t="str">
        <f>+'S&amp;D'!C23</f>
        <v>Pipeline MLPs</v>
      </c>
      <c r="D17" s="56">
        <f>+'S&amp;D'!G23</f>
        <v>16.489999999999998</v>
      </c>
      <c r="E17" s="321">
        <v>1.36</v>
      </c>
      <c r="F17" s="50">
        <f t="shared" si="0"/>
        <v>8.2474226804123724E-2</v>
      </c>
      <c r="G17" s="321">
        <v>1.4</v>
      </c>
      <c r="H17" s="50">
        <f t="shared" si="1"/>
        <v>8.4899939357186177E-2</v>
      </c>
      <c r="I17" s="321">
        <v>1.5</v>
      </c>
      <c r="J17" s="50">
        <f t="shared" si="2"/>
        <v>9.0964220739842339E-2</v>
      </c>
      <c r="K17" s="338">
        <f t="shared" si="3"/>
        <v>2.3264108093814472E-2</v>
      </c>
    </row>
    <row r="18" spans="1:11" ht="17.25">
      <c r="A18" s="59" t="str">
        <f>+'S&amp;D'!A24</f>
        <v>Enterprise Products Partnership LP</v>
      </c>
      <c r="B18" s="86" t="str">
        <f>+'S&amp;D'!B24</f>
        <v>EPD</v>
      </c>
      <c r="C18" s="86" t="str">
        <f>+'S&amp;D'!C24</f>
        <v>Pipeline MLPs</v>
      </c>
      <c r="D18" s="56">
        <f>+'S&amp;D'!G24</f>
        <v>32.06</v>
      </c>
      <c r="E18" s="321">
        <v>2.2400000000000002</v>
      </c>
      <c r="F18" s="50">
        <f t="shared" si="0"/>
        <v>6.9868995633187769E-2</v>
      </c>
      <c r="G18" s="321">
        <v>2.3199999999999998</v>
      </c>
      <c r="H18" s="50">
        <f t="shared" si="1"/>
        <v>7.2364316905801612E-2</v>
      </c>
      <c r="I18" s="321">
        <v>3.8</v>
      </c>
      <c r="J18" s="50">
        <f t="shared" si="2"/>
        <v>0.11852776044915782</v>
      </c>
      <c r="K18" s="338">
        <f t="shared" si="3"/>
        <v>0.17877758942143124</v>
      </c>
    </row>
    <row r="19" spans="1:11" ht="17.25">
      <c r="A19" s="59" t="str">
        <f>+'S&amp;D'!A25</f>
        <v>Kinder Morgan Inc</v>
      </c>
      <c r="B19" s="86" t="str">
        <f>+'S&amp;D'!B25</f>
        <v>KMI</v>
      </c>
      <c r="C19" s="86" t="str">
        <f>+'S&amp;D'!C25</f>
        <v>Oil &amp; Gas Distribution</v>
      </c>
      <c r="D19" s="56">
        <f>+'S&amp;D'!G25</f>
        <v>27.49</v>
      </c>
      <c r="E19" s="321">
        <v>1.19</v>
      </c>
      <c r="F19" s="50">
        <f t="shared" si="0"/>
        <v>4.3288468534012366E-2</v>
      </c>
      <c r="G19" s="321">
        <v>1.21</v>
      </c>
      <c r="H19" s="50">
        <f t="shared" si="1"/>
        <v>4.4016005820298292E-2</v>
      </c>
      <c r="I19" s="321">
        <v>1.55</v>
      </c>
      <c r="J19" s="50">
        <f t="shared" si="2"/>
        <v>5.6384139687158968E-2</v>
      </c>
      <c r="K19" s="338">
        <f t="shared" si="3"/>
        <v>8.6047389290916862E-2</v>
      </c>
    </row>
    <row r="20" spans="1:11" ht="17.25">
      <c r="A20" s="59" t="str">
        <f>+'S&amp;D'!A26</f>
        <v>ONEOK Inc</v>
      </c>
      <c r="B20" s="86" t="str">
        <f>+'S&amp;D'!B26</f>
        <v>OKE</v>
      </c>
      <c r="C20" s="86" t="str">
        <f>+'S&amp;D'!C26</f>
        <v>Oil &amp; Gas Distribution</v>
      </c>
      <c r="D20" s="56">
        <f>+'S&amp;D'!G26</f>
        <v>73.5</v>
      </c>
      <c r="E20" s="321">
        <v>4.28</v>
      </c>
      <c r="F20" s="50">
        <f t="shared" ref="F20:F22" si="4">+E20/D20</f>
        <v>5.8231292517006809E-2</v>
      </c>
      <c r="G20" s="321">
        <v>4.4000000000000004</v>
      </c>
      <c r="H20" s="50">
        <f>+G20/D20</f>
        <v>5.9863945578231298E-2</v>
      </c>
      <c r="I20" s="321">
        <v>6</v>
      </c>
      <c r="J20" s="50">
        <f t="shared" ref="J20:J22" si="5">+I20/D20</f>
        <v>8.1632653061224483E-2</v>
      </c>
      <c r="K20" s="338">
        <f>RATE(3,,-G20,I20)</f>
        <v>0.10891823393038808</v>
      </c>
    </row>
    <row r="21" spans="1:11" ht="17.25">
      <c r="A21" s="59" t="str">
        <f>+'S&amp;D'!A27</f>
        <v>TC Energy Corp</v>
      </c>
      <c r="B21" s="86" t="str">
        <f>+'S&amp;D'!B27</f>
        <v>TRP</v>
      </c>
      <c r="C21" s="86" t="str">
        <f>+'S&amp;D'!C27</f>
        <v>Oil &amp; Gas Distribution</v>
      </c>
      <c r="D21" s="56">
        <f>+'S&amp;D'!G27</f>
        <v>55.01</v>
      </c>
      <c r="E21" s="321">
        <v>2.5499999999999998</v>
      </c>
      <c r="F21" s="50">
        <f t="shared" si="4"/>
        <v>4.6355208143973821E-2</v>
      </c>
      <c r="G21" s="321">
        <v>2.7</v>
      </c>
      <c r="H21" s="50">
        <f t="shared" ref="H21:H22" si="6">+G21/D21</f>
        <v>4.908198509361935E-2</v>
      </c>
      <c r="I21" s="321">
        <v>3.15</v>
      </c>
      <c r="J21" s="50">
        <f t="shared" si="5"/>
        <v>5.7262315942555903E-2</v>
      </c>
      <c r="K21" s="338">
        <f t="shared" ref="K21:K22" si="7">RATE(3,,-G21,I21)</f>
        <v>5.2726599609396463E-2</v>
      </c>
    </row>
    <row r="22" spans="1:11" ht="17.25">
      <c r="A22" s="59" t="str">
        <f>+'S&amp;D'!A28</f>
        <v>Williams Companys Inc</v>
      </c>
      <c r="B22" s="86" t="str">
        <f>+'S&amp;D'!B28</f>
        <v>WMB</v>
      </c>
      <c r="C22" s="86" t="str">
        <f>+'S&amp;D'!C28</f>
        <v>Oil &amp; Gas Distribution</v>
      </c>
      <c r="D22" s="56">
        <f>+'S&amp;D'!G28</f>
        <v>60.11</v>
      </c>
      <c r="E22" s="321">
        <v>2.1</v>
      </c>
      <c r="F22" s="50">
        <f t="shared" si="4"/>
        <v>3.4935950756945604E-2</v>
      </c>
      <c r="G22" s="321">
        <v>2.2000000000000002</v>
      </c>
      <c r="H22" s="50">
        <f t="shared" si="6"/>
        <v>3.6599567459657298E-2</v>
      </c>
      <c r="I22" s="321">
        <v>2.6</v>
      </c>
      <c r="J22" s="50">
        <f t="shared" si="5"/>
        <v>4.3254034270504081E-2</v>
      </c>
      <c r="K22" s="338">
        <f t="shared" si="7"/>
        <v>5.7264270346431258E-2</v>
      </c>
    </row>
    <row r="23" spans="1:11" ht="17.25" thickBot="1">
      <c r="A23" s="11"/>
      <c r="B23" s="11"/>
      <c r="C23" s="41"/>
      <c r="D23" s="44"/>
      <c r="E23" s="44"/>
      <c r="F23" s="44"/>
      <c r="G23" s="44"/>
      <c r="H23" s="44"/>
      <c r="I23" s="44"/>
      <c r="J23" s="44"/>
      <c r="K23" s="44"/>
    </row>
    <row r="24" spans="1:11" ht="17.25" thickTop="1">
      <c r="A24" s="11"/>
      <c r="B24" s="11"/>
      <c r="D24" s="13" t="s">
        <v>45</v>
      </c>
      <c r="E24" s="15">
        <f t="shared" ref="E24:K24" si="8">MAX(E16:E22)</f>
        <v>4.28</v>
      </c>
      <c r="F24" s="279">
        <f t="shared" si="8"/>
        <v>8.2474226804123724E-2</v>
      </c>
      <c r="G24" s="15">
        <f t="shared" si="8"/>
        <v>4.4000000000000004</v>
      </c>
      <c r="H24" s="279">
        <f t="shared" si="8"/>
        <v>8.4899939357186177E-2</v>
      </c>
      <c r="I24" s="15">
        <f t="shared" si="8"/>
        <v>6</v>
      </c>
      <c r="J24" s="279">
        <f t="shared" si="8"/>
        <v>0.11852776044915782</v>
      </c>
      <c r="K24" s="279">
        <f t="shared" si="8"/>
        <v>0.17877758942143124</v>
      </c>
    </row>
    <row r="25" spans="1:11" ht="16.5">
      <c r="A25" s="11"/>
      <c r="B25" s="11"/>
      <c r="D25" s="13" t="s">
        <v>46</v>
      </c>
      <c r="E25" s="299">
        <f t="shared" ref="E25:K25" si="9">+MIN(E16:E22)</f>
        <v>1.19</v>
      </c>
      <c r="F25" s="300">
        <f t="shared" si="9"/>
        <v>3.4935950756945604E-2</v>
      </c>
      <c r="G25" s="299">
        <f t="shared" si="9"/>
        <v>1.21</v>
      </c>
      <c r="H25" s="300">
        <f t="shared" si="9"/>
        <v>3.6599567459657298E-2</v>
      </c>
      <c r="I25" s="299">
        <f t="shared" si="9"/>
        <v>1.5</v>
      </c>
      <c r="J25" s="300">
        <f t="shared" si="9"/>
        <v>4.3254034270504081E-2</v>
      </c>
      <c r="K25" s="300">
        <f t="shared" si="9"/>
        <v>8.4749803491257075E-3</v>
      </c>
    </row>
    <row r="26" spans="1:11" ht="16.5">
      <c r="A26" s="11"/>
      <c r="B26" s="11"/>
      <c r="D26" s="13" t="s">
        <v>18</v>
      </c>
      <c r="E26" s="16">
        <f t="shared" ref="E26:K26" si="10">MEDIAN(E16:E22)</f>
        <v>2.2400000000000002</v>
      </c>
      <c r="F26" s="51">
        <f t="shared" si="10"/>
        <v>5.8231292517006809E-2</v>
      </c>
      <c r="G26" s="16">
        <f t="shared" si="10"/>
        <v>2.3199999999999998</v>
      </c>
      <c r="H26" s="51">
        <f t="shared" si="10"/>
        <v>5.9378806333739334E-2</v>
      </c>
      <c r="I26" s="16">
        <f t="shared" si="10"/>
        <v>3.15</v>
      </c>
      <c r="J26" s="51">
        <f t="shared" si="10"/>
        <v>6.0901339829476243E-2</v>
      </c>
      <c r="K26" s="51">
        <f t="shared" si="10"/>
        <v>5.7264270346431258E-2</v>
      </c>
    </row>
    <row r="27" spans="1:11" ht="16.5">
      <c r="A27" s="11"/>
      <c r="B27" s="11"/>
      <c r="D27" s="13" t="s">
        <v>387</v>
      </c>
      <c r="E27" s="20">
        <f t="shared" ref="E27:K27" si="11">AVERAGE(E16:E22)</f>
        <v>2.5171428571428573</v>
      </c>
      <c r="F27" s="53">
        <f t="shared" si="11"/>
        <v>5.636184981756992E-2</v>
      </c>
      <c r="G27" s="20">
        <f t="shared" si="11"/>
        <v>2.59</v>
      </c>
      <c r="H27" s="53">
        <f t="shared" si="11"/>
        <v>5.8029223792647626E-2</v>
      </c>
      <c r="I27" s="20">
        <f t="shared" si="11"/>
        <v>3.2285714285714286</v>
      </c>
      <c r="J27" s="53">
        <f t="shared" si="11"/>
        <v>7.2703780568559986E-2</v>
      </c>
      <c r="K27" s="53">
        <f t="shared" si="11"/>
        <v>7.3639024434500572E-2</v>
      </c>
    </row>
    <row r="28" spans="1:11" ht="16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26.25">
      <c r="A29" s="11"/>
      <c r="B29" s="11"/>
      <c r="C29" s="11"/>
      <c r="D29" s="11"/>
      <c r="E29" s="11"/>
      <c r="F29" s="46" t="s">
        <v>0</v>
      </c>
      <c r="G29" s="60" t="s">
        <v>0</v>
      </c>
      <c r="H29" s="11"/>
      <c r="I29" s="11"/>
      <c r="J29" s="11"/>
      <c r="K29" s="11"/>
    </row>
    <row r="30" spans="1:11" ht="18.75">
      <c r="A30" s="199" t="s">
        <v>252</v>
      </c>
    </row>
  </sheetData>
  <pageMargins left="0.25" right="0.25" top="0.75" bottom="0.75" header="0.3" footer="0.3"/>
  <pageSetup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596C7-3CA4-4A86-9548-2C135C060B79}">
  <sheetPr>
    <tabColor rgb="FF92D050"/>
  </sheetPr>
  <dimension ref="A1:K30"/>
  <sheetViews>
    <sheetView view="pageBreakPreview" zoomScale="70" zoomScaleNormal="80" workbookViewId="0">
      <selection activeCell="F6" sqref="F6"/>
    </sheetView>
  </sheetViews>
  <sheetFormatPr defaultRowHeight="15"/>
  <cols>
    <col min="1" max="1" width="51.5703125" customWidth="1"/>
    <col min="2" max="2" width="10.85546875" bestFit="1" customWidth="1"/>
    <col min="3" max="3" width="24.85546875" customWidth="1"/>
    <col min="4" max="4" width="15.28515625" customWidth="1"/>
    <col min="5" max="5" width="16" customWidth="1"/>
    <col min="6" max="6" width="20" customWidth="1"/>
    <col min="7" max="7" width="16.5703125" customWidth="1"/>
    <col min="8" max="8" width="19.140625" customWidth="1"/>
    <col min="9" max="10" width="20.140625" customWidth="1"/>
    <col min="11" max="11" width="17.7109375" customWidth="1"/>
    <col min="12" max="12" width="23.7109375" customWidth="1"/>
  </cols>
  <sheetData>
    <row r="1" spans="1:11" ht="26.25">
      <c r="A1" s="22" t="s">
        <v>1</v>
      </c>
      <c r="B1" s="11"/>
      <c r="C1" s="11"/>
      <c r="D1" s="11"/>
      <c r="E1" s="11"/>
      <c r="F1" s="11"/>
      <c r="G1" s="11"/>
      <c r="H1" s="11"/>
      <c r="I1" s="11"/>
      <c r="J1" s="11"/>
    </row>
    <row r="2" spans="1:11" ht="17.25">
      <c r="A2" s="23" t="s">
        <v>9</v>
      </c>
      <c r="B2" s="11"/>
      <c r="C2" s="11"/>
      <c r="D2" s="11"/>
      <c r="E2" s="11"/>
      <c r="F2" s="11"/>
      <c r="G2" s="11"/>
      <c r="H2" s="11"/>
      <c r="I2" s="11"/>
      <c r="J2" s="11"/>
    </row>
    <row r="3" spans="1:11" ht="16.5">
      <c r="A3" s="24" t="s">
        <v>465</v>
      </c>
      <c r="B3" s="11"/>
      <c r="C3" s="11"/>
      <c r="D3" s="11"/>
      <c r="E3" s="11"/>
      <c r="F3" s="11"/>
      <c r="G3" s="11"/>
      <c r="H3" s="11"/>
      <c r="I3" s="11"/>
      <c r="J3" s="11"/>
    </row>
    <row r="4" spans="1:11" ht="16.5">
      <c r="A4" s="24"/>
      <c r="B4" s="11"/>
      <c r="C4" s="11"/>
      <c r="D4" s="11"/>
      <c r="E4" s="11"/>
      <c r="F4" s="11"/>
      <c r="G4" s="11"/>
      <c r="H4" s="11"/>
      <c r="I4" s="11"/>
      <c r="J4" s="11"/>
    </row>
    <row r="5" spans="1:11" ht="17.25" thickBot="1">
      <c r="A5" s="11"/>
      <c r="B5" s="11"/>
      <c r="C5" s="11"/>
      <c r="D5" s="11"/>
      <c r="E5" s="11"/>
      <c r="F5" s="11"/>
      <c r="G5" s="25"/>
      <c r="H5" s="11"/>
      <c r="I5" s="11"/>
      <c r="J5" s="11"/>
    </row>
    <row r="6" spans="1:11" ht="21" thickBot="1">
      <c r="A6" s="234" t="str">
        <f>+'S&amp;D'!A12</f>
        <v>Natural Gas Transmission Pipeline Carrier</v>
      </c>
      <c r="B6" s="170"/>
      <c r="C6" s="11"/>
      <c r="D6" s="27"/>
      <c r="E6" s="27"/>
      <c r="F6" s="484" t="s">
        <v>0</v>
      </c>
      <c r="G6" s="11"/>
      <c r="H6" s="11"/>
      <c r="I6" s="11"/>
      <c r="J6" s="11"/>
    </row>
    <row r="7" spans="1:11" ht="26.25">
      <c r="A7" s="28"/>
      <c r="B7" s="11"/>
      <c r="C7" s="11"/>
      <c r="D7" s="11"/>
      <c r="E7" s="29" t="s">
        <v>253</v>
      </c>
      <c r="F7" s="11"/>
      <c r="G7" s="11"/>
      <c r="H7" s="11"/>
      <c r="I7" s="11"/>
      <c r="J7" s="11"/>
    </row>
    <row r="8" spans="1:11" ht="21" thickBot="1">
      <c r="A8" s="28"/>
      <c r="B8" s="11"/>
      <c r="C8" s="11"/>
      <c r="D8" s="27"/>
      <c r="E8" s="30" t="s">
        <v>477</v>
      </c>
      <c r="F8" s="27"/>
      <c r="G8" s="11"/>
      <c r="H8" s="11"/>
      <c r="I8" s="11"/>
      <c r="J8" s="11"/>
    </row>
    <row r="9" spans="1:11" ht="17.25" thickBot="1">
      <c r="A9" s="31" t="s">
        <v>0</v>
      </c>
      <c r="B9" s="31" t="s">
        <v>0</v>
      </c>
      <c r="C9" s="31" t="s">
        <v>0</v>
      </c>
      <c r="D9" s="31" t="s">
        <v>0</v>
      </c>
      <c r="E9" s="31" t="s">
        <v>0</v>
      </c>
      <c r="F9" s="31"/>
      <c r="G9" s="27"/>
      <c r="H9" s="27"/>
      <c r="I9" s="27"/>
      <c r="J9" s="27"/>
      <c r="K9" s="137"/>
    </row>
    <row r="10" spans="1:11" ht="16.5">
      <c r="A10" s="32" t="s">
        <v>0</v>
      </c>
      <c r="B10" s="32" t="s">
        <v>3</v>
      </c>
      <c r="C10" s="32" t="s">
        <v>5</v>
      </c>
      <c r="D10" s="32" t="s">
        <v>156</v>
      </c>
      <c r="E10" s="32" t="s">
        <v>162</v>
      </c>
      <c r="F10" s="32" t="s">
        <v>162</v>
      </c>
      <c r="G10" s="32" t="s">
        <v>162</v>
      </c>
      <c r="H10" s="32" t="s">
        <v>162</v>
      </c>
      <c r="I10" s="32" t="s">
        <v>162</v>
      </c>
      <c r="J10" s="32" t="s">
        <v>162</v>
      </c>
      <c r="K10" s="32" t="s">
        <v>250</v>
      </c>
    </row>
    <row r="11" spans="1:11" ht="16.5">
      <c r="A11" s="32"/>
      <c r="B11" s="32" t="s">
        <v>4</v>
      </c>
      <c r="C11" s="32" t="s">
        <v>6</v>
      </c>
      <c r="D11" s="32" t="s">
        <v>27</v>
      </c>
      <c r="E11" s="32" t="s">
        <v>158</v>
      </c>
      <c r="F11" s="32" t="s">
        <v>116</v>
      </c>
      <c r="G11" s="32" t="s">
        <v>158</v>
      </c>
      <c r="H11" s="32" t="s">
        <v>116</v>
      </c>
      <c r="I11" s="32" t="s">
        <v>158</v>
      </c>
      <c r="J11" s="32" t="s">
        <v>116</v>
      </c>
      <c r="K11" s="32" t="s">
        <v>174</v>
      </c>
    </row>
    <row r="12" spans="1:11" ht="17.25" thickBot="1">
      <c r="A12" s="34" t="s">
        <v>2</v>
      </c>
      <c r="B12" s="34" t="s">
        <v>0</v>
      </c>
      <c r="C12" s="34" t="s">
        <v>0</v>
      </c>
      <c r="D12" s="34" t="s">
        <v>0</v>
      </c>
      <c r="E12" s="34" t="s">
        <v>160</v>
      </c>
      <c r="F12" s="34" t="s">
        <v>160</v>
      </c>
      <c r="G12" s="34" t="s">
        <v>248</v>
      </c>
      <c r="H12" s="34" t="s">
        <v>248</v>
      </c>
      <c r="I12" s="34" t="s">
        <v>249</v>
      </c>
      <c r="J12" s="34" t="s">
        <v>249</v>
      </c>
      <c r="K12" s="198" t="s">
        <v>251</v>
      </c>
    </row>
    <row r="13" spans="1:11">
      <c r="A13" s="36" t="s">
        <v>7</v>
      </c>
      <c r="B13" s="36" t="s">
        <v>7</v>
      </c>
      <c r="C13" s="36" t="s">
        <v>7</v>
      </c>
      <c r="D13" s="37" t="s">
        <v>112</v>
      </c>
      <c r="E13" s="36" t="s">
        <v>7</v>
      </c>
      <c r="F13" s="36" t="s">
        <v>15</v>
      </c>
      <c r="G13" s="36" t="s">
        <v>7</v>
      </c>
      <c r="H13" s="36" t="s">
        <v>15</v>
      </c>
      <c r="I13" s="36" t="s">
        <v>7</v>
      </c>
      <c r="J13" s="36" t="s">
        <v>15</v>
      </c>
      <c r="K13" s="36" t="s">
        <v>15</v>
      </c>
    </row>
    <row r="14" spans="1:11" ht="16.5">
      <c r="A14" s="32"/>
      <c r="B14" s="32"/>
      <c r="C14" s="32"/>
      <c r="D14" s="32"/>
      <c r="E14" s="32"/>
      <c r="F14" s="32"/>
      <c r="G14" s="11"/>
      <c r="H14" s="11"/>
      <c r="I14" s="11"/>
      <c r="J14" s="11"/>
      <c r="K14" s="11"/>
    </row>
    <row r="15" spans="1:11" ht="16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ht="17.25">
      <c r="A16" s="41" t="str">
        <f>+'S&amp;D'!A22</f>
        <v>Enbridge Inc</v>
      </c>
      <c r="B16" s="32" t="str">
        <f>+'S&amp;D'!B22</f>
        <v>ENB.TO</v>
      </c>
      <c r="C16" s="32" t="str">
        <f>+'S&amp;D'!C22</f>
        <v>Oil &amp; Gas Distribution</v>
      </c>
      <c r="D16" s="336">
        <f>+'S&amp;D'!G22</f>
        <v>65.680000000000007</v>
      </c>
      <c r="E16" s="321">
        <v>2.6</v>
      </c>
      <c r="F16" s="50">
        <f t="shared" ref="F16:F19" si="0">+E16/D16</f>
        <v>3.9585870889159561E-2</v>
      </c>
      <c r="G16" s="321">
        <v>2.7</v>
      </c>
      <c r="H16" s="50">
        <f t="shared" ref="H16:H19" si="1">+G16/D16</f>
        <v>4.1108404384896463E-2</v>
      </c>
      <c r="I16" s="321">
        <v>3.5</v>
      </c>
      <c r="J16" s="50">
        <f t="shared" ref="J16:J19" si="2">+I16/D16</f>
        <v>5.328867235079171E-2</v>
      </c>
      <c r="K16" s="338">
        <f t="shared" ref="K16:K19" si="3">RATE(3,,-G16,I16)</f>
        <v>9.035543672952992E-2</v>
      </c>
    </row>
    <row r="17" spans="1:11" ht="17.25">
      <c r="A17" s="41" t="str">
        <f>+'S&amp;D'!A23</f>
        <v>Energy Transfer LP</v>
      </c>
      <c r="B17" s="32" t="str">
        <f>+'S&amp;D'!B23</f>
        <v>ET</v>
      </c>
      <c r="C17" s="32" t="str">
        <f>+'S&amp;D'!C23</f>
        <v>Pipeline MLPs</v>
      </c>
      <c r="D17" s="336">
        <f>+'S&amp;D'!G23</f>
        <v>16.489999999999998</v>
      </c>
      <c r="E17" s="321">
        <v>1.4</v>
      </c>
      <c r="F17" s="50">
        <f t="shared" si="0"/>
        <v>8.4899939357186177E-2</v>
      </c>
      <c r="G17" s="321">
        <v>1.5</v>
      </c>
      <c r="H17" s="50">
        <f t="shared" si="1"/>
        <v>9.0964220739842339E-2</v>
      </c>
      <c r="I17" s="321">
        <v>2</v>
      </c>
      <c r="J17" s="50">
        <f t="shared" si="2"/>
        <v>0.12128562765312312</v>
      </c>
      <c r="K17" s="338">
        <f t="shared" si="3"/>
        <v>0.10064241629820768</v>
      </c>
    </row>
    <row r="18" spans="1:11" ht="17.25">
      <c r="A18" s="41" t="str">
        <f>+'S&amp;D'!A24</f>
        <v>Enterprise Products Partnership LP</v>
      </c>
      <c r="B18" s="32" t="str">
        <f>+'S&amp;D'!B24</f>
        <v>EPD</v>
      </c>
      <c r="C18" s="32" t="str">
        <f>+'S&amp;D'!C24</f>
        <v>Pipeline MLPs</v>
      </c>
      <c r="D18" s="336">
        <f>+'S&amp;D'!G24</f>
        <v>32.06</v>
      </c>
      <c r="E18" s="321">
        <v>2.8</v>
      </c>
      <c r="F18" s="50">
        <f t="shared" si="0"/>
        <v>8.7336244541484698E-2</v>
      </c>
      <c r="G18" s="321">
        <v>3.05</v>
      </c>
      <c r="H18" s="50">
        <f t="shared" si="1"/>
        <v>9.5134123518402988E-2</v>
      </c>
      <c r="I18" s="321">
        <v>3.8</v>
      </c>
      <c r="J18" s="50">
        <f t="shared" si="2"/>
        <v>0.11852776044915782</v>
      </c>
      <c r="K18" s="338">
        <f t="shared" si="3"/>
        <v>7.6038769299235892E-2</v>
      </c>
    </row>
    <row r="19" spans="1:11" ht="17.25">
      <c r="A19" s="41" t="str">
        <f>+'S&amp;D'!A25</f>
        <v>Kinder Morgan Inc</v>
      </c>
      <c r="B19" s="32" t="str">
        <f>+'S&amp;D'!B25</f>
        <v>KMI</v>
      </c>
      <c r="C19" s="32" t="str">
        <f>+'S&amp;D'!C25</f>
        <v>Oil &amp; Gas Distribution</v>
      </c>
      <c r="D19" s="336">
        <f>+'S&amp;D'!G25</f>
        <v>27.49</v>
      </c>
      <c r="E19" s="321">
        <v>1.4</v>
      </c>
      <c r="F19" s="50">
        <f t="shared" si="0"/>
        <v>5.0927610040014552E-2</v>
      </c>
      <c r="G19" s="321">
        <v>1.5</v>
      </c>
      <c r="H19" s="50">
        <f t="shared" si="1"/>
        <v>5.4565296471444168E-2</v>
      </c>
      <c r="I19" s="321">
        <v>1.9</v>
      </c>
      <c r="J19" s="50">
        <f t="shared" si="2"/>
        <v>6.9116042197162608E-2</v>
      </c>
      <c r="K19" s="338">
        <f t="shared" si="3"/>
        <v>8.1983855523205196E-2</v>
      </c>
    </row>
    <row r="20" spans="1:11" ht="17.25">
      <c r="A20" s="41" t="str">
        <f>+'S&amp;D'!A26</f>
        <v>ONEOK Inc</v>
      </c>
      <c r="B20" s="32" t="str">
        <f>+'S&amp;D'!B26</f>
        <v>OKE</v>
      </c>
      <c r="C20" s="32" t="str">
        <f>+'S&amp;D'!C26</f>
        <v>Oil &amp; Gas Distribution</v>
      </c>
      <c r="D20" s="336">
        <f>+'S&amp;D'!G26</f>
        <v>73.5</v>
      </c>
      <c r="E20" s="321">
        <v>6.25</v>
      </c>
      <c r="F20" s="50">
        <f t="shared" ref="F20:F22" si="4">+E20/D20</f>
        <v>8.5034013605442174E-2</v>
      </c>
      <c r="G20" s="321">
        <v>7</v>
      </c>
      <c r="H20" s="50">
        <f>+G20/D20</f>
        <v>9.5238095238095233E-2</v>
      </c>
      <c r="I20" s="321">
        <v>10</v>
      </c>
      <c r="J20" s="50">
        <f t="shared" ref="J20:J22" si="5">+I20/D20</f>
        <v>0.1360544217687075</v>
      </c>
      <c r="K20" s="338">
        <f t="shared" ref="K20:K22" si="6">RATE(3,,-G20,I20)</f>
        <v>0.12624788044374041</v>
      </c>
    </row>
    <row r="21" spans="1:11" ht="17.25">
      <c r="A21" s="41" t="str">
        <f>+'S&amp;D'!A27</f>
        <v>TC Energy Corp</v>
      </c>
      <c r="B21" s="32" t="str">
        <f>+'S&amp;D'!B27</f>
        <v>TRP</v>
      </c>
      <c r="C21" s="32" t="str">
        <f>+'S&amp;D'!C27</f>
        <v>Oil &amp; Gas Distribution</v>
      </c>
      <c r="D21" s="336">
        <f>+'S&amp;D'!G27</f>
        <v>55.01</v>
      </c>
      <c r="E21" s="321">
        <v>3.2</v>
      </c>
      <c r="F21" s="50">
        <f t="shared" si="4"/>
        <v>5.8171241592437743E-2</v>
      </c>
      <c r="G21" s="321">
        <v>3.75</v>
      </c>
      <c r="H21" s="50">
        <f t="shared" ref="H21" si="7">+G21/D21</f>
        <v>6.8169423741137977E-2</v>
      </c>
      <c r="I21" s="321">
        <v>5.25</v>
      </c>
      <c r="J21" s="50">
        <f t="shared" si="5"/>
        <v>9.5437193237593171E-2</v>
      </c>
      <c r="K21" s="338">
        <f t="shared" si="6"/>
        <v>0.11868894208140651</v>
      </c>
    </row>
    <row r="22" spans="1:11" ht="17.25">
      <c r="A22" s="41" t="str">
        <f>+'S&amp;D'!A28</f>
        <v>Williams Companys Inc</v>
      </c>
      <c r="B22" s="32" t="str">
        <f>+'S&amp;D'!B28</f>
        <v>WMB</v>
      </c>
      <c r="C22" s="32" t="str">
        <f>+'S&amp;D'!C28</f>
        <v>Oil &amp; Gas Distribution</v>
      </c>
      <c r="D22" s="336">
        <f>+'S&amp;D'!G28</f>
        <v>60.11</v>
      </c>
      <c r="E22" s="321">
        <v>2.4</v>
      </c>
      <c r="F22" s="50">
        <f t="shared" si="4"/>
        <v>3.9926800865080686E-2</v>
      </c>
      <c r="G22" s="321">
        <v>2.7</v>
      </c>
      <c r="H22" s="50">
        <v>3.4000000000000002E-2</v>
      </c>
      <c r="I22" s="321">
        <v>3.4</v>
      </c>
      <c r="J22" s="50">
        <f t="shared" si="5"/>
        <v>5.6562967892197634E-2</v>
      </c>
      <c r="K22" s="338">
        <f t="shared" si="6"/>
        <v>7.9870600425845817E-2</v>
      </c>
    </row>
    <row r="23" spans="1:11" ht="17.25" thickBot="1">
      <c r="A23" s="11"/>
      <c r="B23" s="11"/>
      <c r="C23" s="41"/>
      <c r="D23" s="44"/>
      <c r="E23" s="44"/>
      <c r="F23" s="44"/>
      <c r="G23" s="44"/>
      <c r="H23" s="44"/>
      <c r="I23" s="44"/>
      <c r="J23" s="44"/>
      <c r="K23" s="44"/>
    </row>
    <row r="24" spans="1:11" ht="17.25" thickTop="1">
      <c r="A24" s="11"/>
      <c r="B24" s="11"/>
      <c r="D24" s="13" t="s">
        <v>45</v>
      </c>
      <c r="E24" s="15">
        <f t="shared" ref="E24:K24" si="8">+MAX(E16:E22)</f>
        <v>6.25</v>
      </c>
      <c r="F24" s="279">
        <f t="shared" si="8"/>
        <v>8.7336244541484698E-2</v>
      </c>
      <c r="G24" s="15">
        <f t="shared" si="8"/>
        <v>7</v>
      </c>
      <c r="H24" s="279">
        <f t="shared" si="8"/>
        <v>9.5238095238095233E-2</v>
      </c>
      <c r="I24" s="15">
        <f t="shared" si="8"/>
        <v>10</v>
      </c>
      <c r="J24" s="279">
        <f t="shared" si="8"/>
        <v>0.1360544217687075</v>
      </c>
      <c r="K24" s="279">
        <f t="shared" si="8"/>
        <v>0.12624788044374041</v>
      </c>
    </row>
    <row r="25" spans="1:11" ht="16.5">
      <c r="A25" s="11"/>
      <c r="B25" s="11"/>
      <c r="D25" s="303" t="s">
        <v>46</v>
      </c>
      <c r="E25" s="299">
        <f t="shared" ref="E25:K25" si="9">+MIN(E16:E22)</f>
        <v>1.4</v>
      </c>
      <c r="F25" s="300">
        <f t="shared" si="9"/>
        <v>3.9585870889159561E-2</v>
      </c>
      <c r="G25" s="299">
        <f t="shared" si="9"/>
        <v>1.5</v>
      </c>
      <c r="H25" s="300">
        <f t="shared" si="9"/>
        <v>3.4000000000000002E-2</v>
      </c>
      <c r="I25" s="299">
        <f t="shared" si="9"/>
        <v>1.9</v>
      </c>
      <c r="J25" s="300">
        <f t="shared" si="9"/>
        <v>5.328867235079171E-2</v>
      </c>
      <c r="K25" s="300">
        <f t="shared" si="9"/>
        <v>7.6038769299235892E-2</v>
      </c>
    </row>
    <row r="26" spans="1:11" ht="16.5">
      <c r="A26" s="11"/>
      <c r="B26" s="11"/>
      <c r="D26" s="13" t="s">
        <v>18</v>
      </c>
      <c r="E26" s="16">
        <f t="shared" ref="E26:K26" si="10">MEDIAN(E16:E22)</f>
        <v>2.6</v>
      </c>
      <c r="F26" s="51">
        <f t="shared" si="10"/>
        <v>5.8171241592437743E-2</v>
      </c>
      <c r="G26" s="16">
        <f t="shared" si="10"/>
        <v>2.7</v>
      </c>
      <c r="H26" s="51">
        <f t="shared" si="10"/>
        <v>6.8169423741137977E-2</v>
      </c>
      <c r="I26" s="16">
        <f t="shared" si="10"/>
        <v>3.5</v>
      </c>
      <c r="J26" s="51">
        <f t="shared" si="10"/>
        <v>9.5437193237593171E-2</v>
      </c>
      <c r="K26" s="51">
        <f t="shared" si="10"/>
        <v>9.035543672952992E-2</v>
      </c>
    </row>
    <row r="27" spans="1:11" ht="16.5">
      <c r="A27" s="11"/>
      <c r="B27" s="11"/>
      <c r="D27" s="13" t="s">
        <v>387</v>
      </c>
      <c r="E27" s="20">
        <f t="shared" ref="E27:K27" si="11">AVERAGE(E16:E22)</f>
        <v>2.8642857142857139</v>
      </c>
      <c r="F27" s="53">
        <f t="shared" si="11"/>
        <v>6.3697388698686505E-2</v>
      </c>
      <c r="G27" s="20">
        <f t="shared" si="11"/>
        <v>3.1714285714285713</v>
      </c>
      <c r="H27" s="53">
        <f t="shared" si="11"/>
        <v>6.845422344197416E-2</v>
      </c>
      <c r="I27" s="20">
        <f t="shared" si="11"/>
        <v>4.2642857142857142</v>
      </c>
      <c r="J27" s="53">
        <f t="shared" si="11"/>
        <v>9.2896097935533356E-2</v>
      </c>
      <c r="K27" s="53">
        <f t="shared" si="11"/>
        <v>9.6261128685881631E-2</v>
      </c>
    </row>
    <row r="28" spans="1:11" ht="16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</row>
    <row r="29" spans="1:11" ht="26.25">
      <c r="A29" s="11"/>
      <c r="B29" s="11"/>
      <c r="C29" s="11"/>
      <c r="D29" s="11"/>
      <c r="E29" s="11"/>
      <c r="F29" s="46" t="s">
        <v>0</v>
      </c>
      <c r="G29" s="60" t="s">
        <v>0</v>
      </c>
      <c r="H29" s="11"/>
      <c r="I29" s="11"/>
      <c r="J29" s="11"/>
      <c r="K29" s="11"/>
    </row>
    <row r="30" spans="1:11" ht="18.75">
      <c r="A30" s="199" t="s">
        <v>252</v>
      </c>
    </row>
  </sheetData>
  <pageMargins left="0.25" right="0.25" top="0.75" bottom="0.75" header="0.3" footer="0.3"/>
  <pageSetup scale="5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59"/>
  <sheetViews>
    <sheetView view="pageBreakPreview" zoomScale="60" zoomScaleNormal="80" workbookViewId="0">
      <selection activeCell="D16" activeCellId="1" sqref="F6 D16"/>
    </sheetView>
  </sheetViews>
  <sheetFormatPr defaultRowHeight="15"/>
  <cols>
    <col min="1" max="1" width="41.42578125" customWidth="1"/>
    <col min="2" max="2" width="13.42578125" customWidth="1"/>
    <col min="3" max="3" width="29.42578125" customWidth="1"/>
    <col min="4" max="4" width="20.7109375" customWidth="1"/>
    <col min="5" max="5" width="21.85546875" customWidth="1"/>
    <col min="6" max="6" width="16.140625" customWidth="1"/>
    <col min="7" max="7" width="12.140625" customWidth="1"/>
    <col min="8" max="8" width="18.5703125" customWidth="1"/>
    <col min="9" max="9" width="19.28515625" customWidth="1"/>
    <col min="10" max="11" width="20.5703125" customWidth="1"/>
    <col min="12" max="12" width="26.5703125" customWidth="1"/>
    <col min="13" max="13" width="10.85546875" customWidth="1"/>
  </cols>
  <sheetData>
    <row r="1" spans="1:13" ht="26.25">
      <c r="A1" s="22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7.25">
      <c r="A2" s="23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6.5">
      <c r="A3" s="24" t="s">
        <v>465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6.5">
      <c r="A4" s="24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7.25" thickBot="1">
      <c r="A5" s="11"/>
      <c r="B5" s="11"/>
      <c r="C5" s="11"/>
      <c r="D5" s="11"/>
      <c r="E5" s="11"/>
      <c r="F5" s="11"/>
      <c r="G5" s="25"/>
      <c r="H5" s="25"/>
      <c r="I5" s="11"/>
      <c r="J5" s="11"/>
      <c r="K5" s="11"/>
      <c r="L5" s="11"/>
      <c r="M5" s="11"/>
    </row>
    <row r="6" spans="1:13" ht="21" thickBot="1">
      <c r="A6" s="234" t="str">
        <f>+'S&amp;D'!A12</f>
        <v>Natural Gas Transmission Pipeline Carrier</v>
      </c>
      <c r="B6" s="170"/>
      <c r="C6" s="11"/>
      <c r="D6" s="27"/>
      <c r="E6" s="27"/>
      <c r="F6" s="486" t="s">
        <v>0</v>
      </c>
      <c r="G6" s="11"/>
      <c r="H6" s="11"/>
      <c r="I6" s="11"/>
      <c r="J6" s="11"/>
      <c r="K6" s="11"/>
      <c r="L6" s="11"/>
      <c r="M6" s="11"/>
    </row>
    <row r="7" spans="1:13" ht="26.25">
      <c r="A7" s="28"/>
      <c r="B7" s="11"/>
      <c r="C7" s="11"/>
      <c r="D7" s="11"/>
      <c r="E7" s="29" t="s">
        <v>462</v>
      </c>
      <c r="F7" s="11"/>
      <c r="G7" s="11"/>
      <c r="H7" s="11"/>
      <c r="I7" s="11"/>
      <c r="J7" s="11"/>
      <c r="K7" s="11"/>
      <c r="L7" s="11"/>
      <c r="M7" s="11"/>
    </row>
    <row r="8" spans="1:13" ht="21" thickBot="1">
      <c r="A8" s="28"/>
      <c r="B8" s="11"/>
      <c r="C8" s="11"/>
      <c r="D8" s="27"/>
      <c r="E8" s="34" t="s">
        <v>477</v>
      </c>
      <c r="F8" s="27"/>
      <c r="G8" s="11"/>
      <c r="H8" s="11"/>
      <c r="I8" s="11"/>
      <c r="J8" s="11"/>
      <c r="K8" s="11"/>
      <c r="L8" s="11"/>
      <c r="M8" s="11"/>
    </row>
    <row r="9" spans="1:13" ht="17.25" thickBot="1">
      <c r="A9" s="31" t="s">
        <v>0</v>
      </c>
      <c r="B9" s="31" t="s">
        <v>0</v>
      </c>
      <c r="C9" s="31" t="s">
        <v>0</v>
      </c>
      <c r="D9" s="31" t="s">
        <v>0</v>
      </c>
      <c r="E9" s="31" t="s">
        <v>0</v>
      </c>
      <c r="F9" s="31" t="s">
        <v>0</v>
      </c>
      <c r="G9" s="31"/>
      <c r="H9" s="31"/>
      <c r="I9" s="31" t="s">
        <v>0</v>
      </c>
      <c r="J9" s="27"/>
      <c r="L9" s="11"/>
      <c r="M9" s="11"/>
    </row>
    <row r="10" spans="1:13" ht="16.5">
      <c r="A10" s="32" t="s">
        <v>0</v>
      </c>
      <c r="B10" s="32" t="s">
        <v>3</v>
      </c>
      <c r="C10" s="32" t="s">
        <v>5</v>
      </c>
      <c r="D10" s="32" t="s">
        <v>21</v>
      </c>
      <c r="E10" s="32" t="s">
        <v>20</v>
      </c>
      <c r="F10" s="32" t="s">
        <v>50</v>
      </c>
      <c r="G10" s="32" t="s">
        <v>124</v>
      </c>
      <c r="H10" s="32" t="s">
        <v>460</v>
      </c>
      <c r="I10" s="32" t="s">
        <v>124</v>
      </c>
      <c r="J10" s="32" t="s">
        <v>47</v>
      </c>
      <c r="L10" s="11"/>
      <c r="M10" s="11"/>
    </row>
    <row r="11" spans="1:13" ht="17.25" thickBot="1">
      <c r="A11" s="34" t="s">
        <v>2</v>
      </c>
      <c r="B11" s="34" t="s">
        <v>4</v>
      </c>
      <c r="C11" s="34" t="s">
        <v>6</v>
      </c>
      <c r="D11" s="34" t="s">
        <v>23</v>
      </c>
      <c r="E11" s="34" t="s">
        <v>22</v>
      </c>
      <c r="F11" s="34" t="s">
        <v>48</v>
      </c>
      <c r="G11" s="34" t="s">
        <v>48</v>
      </c>
      <c r="H11" s="34" t="s">
        <v>48</v>
      </c>
      <c r="I11" s="34" t="s">
        <v>48</v>
      </c>
      <c r="J11" s="34" t="s">
        <v>49</v>
      </c>
      <c r="L11" s="11"/>
      <c r="M11" s="11"/>
    </row>
    <row r="12" spans="1:13" ht="16.5">
      <c r="A12" s="36" t="s">
        <v>7</v>
      </c>
      <c r="B12" s="36" t="s">
        <v>7</v>
      </c>
      <c r="C12" s="36" t="s">
        <v>7</v>
      </c>
      <c r="D12" s="36" t="s">
        <v>7</v>
      </c>
      <c r="E12" s="36" t="s">
        <v>7</v>
      </c>
      <c r="F12" s="36" t="s">
        <v>0</v>
      </c>
      <c r="G12" s="36" t="s">
        <v>0</v>
      </c>
      <c r="H12" s="36" t="s">
        <v>0</v>
      </c>
      <c r="I12" s="36" t="s">
        <v>0</v>
      </c>
      <c r="J12" s="36" t="s">
        <v>0</v>
      </c>
      <c r="L12" s="11"/>
      <c r="M12" s="11"/>
    </row>
    <row r="13" spans="1:13" ht="16.5">
      <c r="A13" s="32"/>
      <c r="B13" s="32"/>
      <c r="C13" s="32"/>
      <c r="D13" s="32"/>
      <c r="E13" s="32"/>
      <c r="F13" s="32"/>
      <c r="G13" s="32"/>
      <c r="H13" s="32"/>
      <c r="I13" s="32"/>
      <c r="J13" s="32"/>
      <c r="L13" s="11"/>
      <c r="M13" s="11"/>
    </row>
    <row r="14" spans="1:13" ht="16.5">
      <c r="A14" s="11"/>
      <c r="B14" s="11"/>
      <c r="C14" s="11"/>
      <c r="D14" s="11"/>
      <c r="E14" s="11"/>
      <c r="F14" s="11"/>
      <c r="G14" s="11"/>
      <c r="H14" s="11"/>
      <c r="I14" s="11"/>
      <c r="J14" s="11"/>
      <c r="L14" s="11"/>
      <c r="M14" s="11"/>
    </row>
    <row r="15" spans="1:13" ht="17.25">
      <c r="A15" s="59" t="str">
        <f>+'S&amp;D'!A22</f>
        <v>Enbridge Inc</v>
      </c>
      <c r="B15" s="86" t="str">
        <f>+'S&amp;D'!B22</f>
        <v>ENB.TO</v>
      </c>
      <c r="C15" s="32" t="str">
        <f>+'S&amp;D'!C22</f>
        <v>Oil &amp; Gas Distribution</v>
      </c>
      <c r="D15" s="62">
        <f>+'Beta for CAPM'!D18</f>
        <v>0.15</v>
      </c>
      <c r="E15" s="32" t="str">
        <f>+'Beta for CAPM'!G18</f>
        <v>B++</v>
      </c>
      <c r="F15" s="86" t="s">
        <v>299</v>
      </c>
      <c r="G15" s="258">
        <v>10</v>
      </c>
      <c r="H15" s="58" t="s">
        <v>53</v>
      </c>
      <c r="I15" s="258">
        <v>11</v>
      </c>
      <c r="J15" s="62">
        <f>VLOOKUP(I15,$B$35:$D$58,3,0)</f>
        <v>5.8999999999999997E-2</v>
      </c>
      <c r="L15" s="11"/>
      <c r="M15" s="11"/>
    </row>
    <row r="16" spans="1:13" ht="17.25">
      <c r="A16" s="59" t="str">
        <f>+'S&amp;D'!A23</f>
        <v>Energy Transfer LP</v>
      </c>
      <c r="B16" s="86" t="str">
        <f>+'S&amp;D'!B23</f>
        <v>ET</v>
      </c>
      <c r="C16" s="32" t="str">
        <f>+'S&amp;D'!C23</f>
        <v>Pipeline MLPs</v>
      </c>
      <c r="D16" s="487">
        <f>+'Beta for CAPM'!D19</f>
        <v>0.08</v>
      </c>
      <c r="E16" s="32" t="str">
        <f>+'Beta for CAPM'!G19</f>
        <v>B++</v>
      </c>
      <c r="F16" s="86" t="s">
        <v>300</v>
      </c>
      <c r="G16" s="258">
        <v>11</v>
      </c>
      <c r="H16" s="58" t="s">
        <v>53</v>
      </c>
      <c r="I16" s="258">
        <v>11</v>
      </c>
      <c r="J16" s="62">
        <f t="shared" ref="J16:J21" si="0">VLOOKUP(I16,$B$35:$D$58,3,0)</f>
        <v>5.8999999999999997E-2</v>
      </c>
      <c r="L16" s="11"/>
      <c r="M16" s="11"/>
    </row>
    <row r="17" spans="1:13" ht="17.25">
      <c r="A17" s="59" t="str">
        <f>+'S&amp;D'!A24</f>
        <v>Enterprise Products Partnership LP</v>
      </c>
      <c r="B17" s="86" t="str">
        <f>+'S&amp;D'!B24</f>
        <v>EPD</v>
      </c>
      <c r="C17" s="32" t="str">
        <f>+'S&amp;D'!C24</f>
        <v>Pipeline MLPs</v>
      </c>
      <c r="D17" s="62">
        <f>+'Beta for CAPM'!D20</f>
        <v>1.4999999999999999E-2</v>
      </c>
      <c r="E17" s="32" t="str">
        <f>+'Beta for CAPM'!G20</f>
        <v>A</v>
      </c>
      <c r="F17" s="86" t="s">
        <v>59</v>
      </c>
      <c r="G17" s="258">
        <v>9</v>
      </c>
      <c r="H17" s="58" t="s">
        <v>57</v>
      </c>
      <c r="I17" s="258">
        <v>9</v>
      </c>
      <c r="J17" s="62">
        <f t="shared" si="0"/>
        <v>5.6300000000000003E-2</v>
      </c>
      <c r="L17" s="11"/>
      <c r="M17" s="11"/>
    </row>
    <row r="18" spans="1:13" ht="17.25">
      <c r="A18" s="59" t="str">
        <f>+'S&amp;D'!A25</f>
        <v>Kinder Morgan Inc</v>
      </c>
      <c r="B18" s="86" t="str">
        <f>+'S&amp;D'!B25</f>
        <v>KMI</v>
      </c>
      <c r="C18" s="32" t="str">
        <f>+'S&amp;D'!C25</f>
        <v>Oil &amp; Gas Distribution</v>
      </c>
      <c r="D18" s="62">
        <f>+'Beta for CAPM'!D21</f>
        <v>0.21</v>
      </c>
      <c r="E18" s="32" t="str">
        <f>+'Beta for CAPM'!G21</f>
        <v>B++</v>
      </c>
      <c r="F18" s="86" t="s">
        <v>299</v>
      </c>
      <c r="G18" s="258">
        <v>10</v>
      </c>
      <c r="H18" s="58" t="s">
        <v>52</v>
      </c>
      <c r="I18" s="258">
        <v>10</v>
      </c>
      <c r="J18" s="62">
        <f t="shared" si="0"/>
        <v>5.8999999999999997E-2</v>
      </c>
      <c r="L18" s="11"/>
      <c r="M18" s="11"/>
    </row>
    <row r="19" spans="1:13" ht="17.25">
      <c r="A19" s="59" t="str">
        <f>+'S&amp;D'!A26</f>
        <v>ONEOK Inc</v>
      </c>
      <c r="B19" s="86" t="str">
        <f>+'S&amp;D'!B26</f>
        <v>OKE</v>
      </c>
      <c r="C19" s="32" t="str">
        <f>+'S&amp;D'!C26</f>
        <v>Oil &amp; Gas Distribution</v>
      </c>
      <c r="D19" s="62">
        <f>+'Beta for CAPM'!D22</f>
        <v>0.21</v>
      </c>
      <c r="E19" s="32" t="str">
        <f>+'Beta for CAPM'!G22</f>
        <v>B++</v>
      </c>
      <c r="F19" s="86" t="s">
        <v>300</v>
      </c>
      <c r="G19" s="258">
        <v>11</v>
      </c>
      <c r="H19" s="58" t="s">
        <v>53</v>
      </c>
      <c r="I19" s="258">
        <v>11</v>
      </c>
      <c r="J19" s="62">
        <f t="shared" si="0"/>
        <v>5.8999999999999997E-2</v>
      </c>
      <c r="L19" s="11"/>
      <c r="M19" s="11"/>
    </row>
    <row r="20" spans="1:13" ht="17.25">
      <c r="A20" s="59" t="str">
        <f>+'S&amp;D'!A27</f>
        <v>TC Energy Corp</v>
      </c>
      <c r="B20" s="86" t="str">
        <f>+'S&amp;D'!B27</f>
        <v>TRP</v>
      </c>
      <c r="C20" s="32" t="str">
        <f>+'S&amp;D'!C27</f>
        <v>Oil &amp; Gas Distribution</v>
      </c>
      <c r="D20" s="62">
        <f>+'Beta for CAPM'!D23</f>
        <v>0.21</v>
      </c>
      <c r="E20" s="32" t="str">
        <f>+'Beta for CAPM'!G23</f>
        <v>B++</v>
      </c>
      <c r="F20" s="86" t="s">
        <v>299</v>
      </c>
      <c r="G20" s="258">
        <v>10</v>
      </c>
      <c r="H20" s="58" t="s">
        <v>58</v>
      </c>
      <c r="I20" s="258">
        <v>12</v>
      </c>
      <c r="J20" s="62">
        <f t="shared" si="0"/>
        <v>5.8999999999999997E-2</v>
      </c>
      <c r="L20" s="11"/>
      <c r="M20" s="11"/>
    </row>
    <row r="21" spans="1:13" ht="17.25">
      <c r="A21" s="59" t="str">
        <f>+'S&amp;D'!A28</f>
        <v>Williams Companys Inc</v>
      </c>
      <c r="B21" s="86" t="str">
        <f>+'S&amp;D'!B28</f>
        <v>WMB</v>
      </c>
      <c r="C21" s="32" t="str">
        <f>+'S&amp;D'!C28</f>
        <v>Oil &amp; Gas Distribution</v>
      </c>
      <c r="D21" s="62">
        <f>+'Beta for CAPM'!D24</f>
        <v>0.21</v>
      </c>
      <c r="E21" s="32" t="str">
        <f>+'Beta for CAPM'!G24</f>
        <v>B++</v>
      </c>
      <c r="F21" s="86" t="s">
        <v>299</v>
      </c>
      <c r="G21" s="258">
        <v>10</v>
      </c>
      <c r="H21" s="58" t="s">
        <v>53</v>
      </c>
      <c r="I21" s="258">
        <v>11</v>
      </c>
      <c r="J21" s="62">
        <f t="shared" si="0"/>
        <v>5.8999999999999997E-2</v>
      </c>
      <c r="L21" s="11"/>
      <c r="M21" s="11"/>
    </row>
    <row r="22" spans="1:13" ht="17.25" thickBot="1">
      <c r="A22" s="11"/>
      <c r="B22" s="11"/>
      <c r="C22" s="41"/>
      <c r="D22" s="44"/>
      <c r="E22" s="44"/>
      <c r="F22" s="44"/>
      <c r="G22" s="44"/>
      <c r="H22" s="44" t="s">
        <v>44</v>
      </c>
      <c r="I22" s="44"/>
      <c r="J22" s="44"/>
      <c r="L22" s="11"/>
      <c r="M22" s="11"/>
    </row>
    <row r="23" spans="1:13" ht="17.25" thickTop="1">
      <c r="A23" s="11"/>
      <c r="B23" s="11"/>
      <c r="E23" s="13" t="s">
        <v>45</v>
      </c>
      <c r="G23" s="259">
        <f>MAX(G15:G21)</f>
        <v>11</v>
      </c>
      <c r="H23" s="277" t="s">
        <v>0</v>
      </c>
      <c r="I23" s="297">
        <f>MAX(I15:I21)</f>
        <v>12</v>
      </c>
      <c r="J23" s="277">
        <f>MAX(J15:J21)</f>
        <v>5.8999999999999997E-2</v>
      </c>
      <c r="L23" s="11"/>
      <c r="M23" s="11"/>
    </row>
    <row r="24" spans="1:13" ht="16.5">
      <c r="A24" s="11"/>
      <c r="B24" s="11"/>
      <c r="E24" s="303" t="s">
        <v>46</v>
      </c>
      <c r="F24" s="216"/>
      <c r="G24" s="260">
        <f>MIN(G15:G21)</f>
        <v>9</v>
      </c>
      <c r="H24" s="278" t="s">
        <v>0</v>
      </c>
      <c r="I24" s="298">
        <f>MIN(I15:I21)</f>
        <v>9</v>
      </c>
      <c r="J24" s="278">
        <f>MIN(J15:J21)</f>
        <v>5.6300000000000003E-2</v>
      </c>
      <c r="L24" s="11"/>
      <c r="M24" s="11"/>
    </row>
    <row r="25" spans="1:13" ht="16.5">
      <c r="A25" s="11"/>
      <c r="B25" s="11"/>
      <c r="E25" s="13" t="s">
        <v>18</v>
      </c>
      <c r="G25" s="190">
        <f>MEDIAN(G15:G21)</f>
        <v>10</v>
      </c>
      <c r="H25" s="52" t="s">
        <v>0</v>
      </c>
      <c r="I25" s="191">
        <f>MEDIAN(I15:I21)</f>
        <v>11</v>
      </c>
      <c r="J25" s="52">
        <f>MEDIAN(J15:J21)</f>
        <v>5.8999999999999997E-2</v>
      </c>
      <c r="L25" s="11"/>
      <c r="M25" s="11"/>
    </row>
    <row r="26" spans="1:13" ht="16.5">
      <c r="A26" s="11"/>
      <c r="B26" s="11"/>
      <c r="D26" s="13" t="s">
        <v>0</v>
      </c>
      <c r="E26" s="13" t="s">
        <v>387</v>
      </c>
      <c r="G26" s="191">
        <f>AVERAGE(G15:G21)</f>
        <v>10.142857142857142</v>
      </c>
      <c r="H26" s="52" t="s">
        <v>0</v>
      </c>
      <c r="I26" s="191">
        <f>AVERAGE(I15:I21)</f>
        <v>10.714285714285714</v>
      </c>
      <c r="J26" s="52">
        <f>AVERAGE(J15:J21)</f>
        <v>5.8614285714285716E-2</v>
      </c>
      <c r="L26" s="11"/>
      <c r="M26" s="11"/>
    </row>
    <row r="27" spans="1:13" ht="16.5">
      <c r="A27" s="11"/>
      <c r="B27" s="11"/>
      <c r="D27" s="53"/>
      <c r="E27" s="13"/>
      <c r="G27" s="191"/>
      <c r="H27" s="52"/>
      <c r="I27" s="191"/>
      <c r="J27" s="52"/>
      <c r="L27" s="11"/>
      <c r="M27" s="11"/>
    </row>
    <row r="28" spans="1:13" ht="17.25" thickBot="1">
      <c r="A28" s="11"/>
      <c r="B28" s="11"/>
      <c r="C28" s="11"/>
      <c r="D28" s="11"/>
      <c r="E28" s="13"/>
      <c r="F28" s="53"/>
      <c r="H28" s="11"/>
      <c r="I28" s="11"/>
      <c r="J28" s="11"/>
      <c r="K28" s="11"/>
      <c r="L28" s="11"/>
      <c r="M28" s="11"/>
    </row>
    <row r="29" spans="1:13" ht="27" thickBot="1">
      <c r="A29" s="11"/>
      <c r="B29" s="11"/>
      <c r="C29" s="11"/>
      <c r="D29" s="11"/>
      <c r="E29" s="11"/>
      <c r="F29" s="165"/>
      <c r="G29" s="292"/>
      <c r="H29" s="166" t="s">
        <v>230</v>
      </c>
      <c r="I29" s="346"/>
      <c r="J29" s="347">
        <v>5.8599999999999999E-2</v>
      </c>
      <c r="K29" s="11"/>
      <c r="L29" s="11"/>
      <c r="M29" s="11"/>
    </row>
    <row r="30" spans="1:13" ht="16.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16.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6.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13" ht="21" thickBot="1">
      <c r="A33" s="247" t="s">
        <v>137</v>
      </c>
      <c r="B33" s="11"/>
      <c r="G33" s="11"/>
      <c r="H33" s="11"/>
      <c r="I33" s="11"/>
      <c r="J33" s="11"/>
      <c r="K33" s="11"/>
      <c r="L33" s="11"/>
      <c r="M33" s="11"/>
    </row>
    <row r="34" spans="1:13" ht="24">
      <c r="A34" s="362" t="s">
        <v>461</v>
      </c>
      <c r="B34" s="362" t="s">
        <v>310</v>
      </c>
      <c r="C34" s="362" t="s">
        <v>388</v>
      </c>
      <c r="D34" s="373" t="s">
        <v>417</v>
      </c>
      <c r="E34" s="373" t="s">
        <v>418</v>
      </c>
      <c r="F34" s="11"/>
      <c r="G34" s="11"/>
      <c r="H34" s="11"/>
      <c r="I34" s="11"/>
      <c r="M34" s="11"/>
    </row>
    <row r="35" spans="1:13" ht="17.25">
      <c r="A35" s="253" t="s">
        <v>322</v>
      </c>
      <c r="B35" s="257">
        <v>1</v>
      </c>
      <c r="C35" s="254" t="s">
        <v>321</v>
      </c>
      <c r="D35" s="363">
        <v>5.3100000000000001E-2</v>
      </c>
      <c r="E35" s="363">
        <v>5.3100000000000001E-2</v>
      </c>
      <c r="F35" s="11"/>
      <c r="G35" s="11"/>
      <c r="H35" s="11"/>
      <c r="I35" s="11"/>
      <c r="M35" s="11"/>
    </row>
    <row r="36" spans="1:13" ht="17.25">
      <c r="A36" s="54" t="s">
        <v>323</v>
      </c>
      <c r="B36" s="248">
        <v>2</v>
      </c>
      <c r="C36" s="255" t="s">
        <v>295</v>
      </c>
      <c r="D36" s="363">
        <v>5.3100000000000001E-2</v>
      </c>
      <c r="E36" s="363">
        <v>5.3100000000000001E-2</v>
      </c>
      <c r="F36" s="11" t="s">
        <v>187</v>
      </c>
      <c r="H36" s="11"/>
      <c r="I36" s="11"/>
      <c r="M36" s="11"/>
    </row>
    <row r="37" spans="1:13" ht="18" thickBot="1">
      <c r="A37" s="55" t="s">
        <v>324</v>
      </c>
      <c r="B37" s="250">
        <v>3</v>
      </c>
      <c r="C37" s="256" t="s">
        <v>320</v>
      </c>
      <c r="D37" s="364">
        <v>5.3100000000000001E-2</v>
      </c>
      <c r="E37" s="363">
        <v>5.3100000000000001E-2</v>
      </c>
      <c r="F37" s="11"/>
      <c r="H37" s="11"/>
      <c r="I37" s="11"/>
      <c r="M37" s="11"/>
    </row>
    <row r="38" spans="1:13" ht="17.25">
      <c r="A38" s="54" t="s">
        <v>136</v>
      </c>
      <c r="B38" s="248">
        <v>4</v>
      </c>
      <c r="C38" s="249" t="s">
        <v>294</v>
      </c>
      <c r="D38" s="363">
        <v>5.4899999999999997E-2</v>
      </c>
      <c r="E38" s="363">
        <v>5.57E-2</v>
      </c>
      <c r="F38" s="11"/>
      <c r="H38" s="11"/>
      <c r="I38" s="11"/>
      <c r="M38" s="11"/>
    </row>
    <row r="39" spans="1:13" ht="17.25">
      <c r="A39" s="54" t="s">
        <v>135</v>
      </c>
      <c r="B39" s="248">
        <v>5</v>
      </c>
      <c r="C39" s="249" t="s">
        <v>296</v>
      </c>
      <c r="D39" s="363">
        <v>5.4899999999999997E-2</v>
      </c>
      <c r="E39" s="363">
        <v>5.57E-2</v>
      </c>
      <c r="F39" s="11" t="s">
        <v>297</v>
      </c>
      <c r="H39" s="11"/>
      <c r="I39" s="11"/>
      <c r="M39" s="11"/>
    </row>
    <row r="40" spans="1:13" ht="18" thickBot="1">
      <c r="A40" s="55" t="s">
        <v>134</v>
      </c>
      <c r="B40" s="250">
        <v>6</v>
      </c>
      <c r="C40" s="251" t="s">
        <v>298</v>
      </c>
      <c r="D40" s="365">
        <v>5.4899999999999997E-2</v>
      </c>
      <c r="E40" s="363">
        <v>5.57E-2</v>
      </c>
      <c r="F40" s="11"/>
      <c r="H40" s="11"/>
      <c r="I40" s="11"/>
      <c r="M40" s="11"/>
    </row>
    <row r="41" spans="1:13" ht="17.25">
      <c r="A41" s="54" t="s">
        <v>55</v>
      </c>
      <c r="B41" s="248">
        <v>7</v>
      </c>
      <c r="C41" s="249" t="s">
        <v>43</v>
      </c>
      <c r="D41" s="366">
        <v>5.6300000000000003E-2</v>
      </c>
      <c r="E41" s="367">
        <v>5.6800000000000003E-2</v>
      </c>
      <c r="H41" s="11"/>
      <c r="I41" s="11"/>
      <c r="M41" s="11"/>
    </row>
    <row r="42" spans="1:13" ht="17.25">
      <c r="A42" s="54" t="s">
        <v>133</v>
      </c>
      <c r="B42" s="248">
        <v>8</v>
      </c>
      <c r="C42" s="249" t="s">
        <v>24</v>
      </c>
      <c r="D42" s="367">
        <v>5.6300000000000003E-2</v>
      </c>
      <c r="E42" s="367">
        <v>5.6800000000000003E-2</v>
      </c>
      <c r="F42" s="11" t="s">
        <v>188</v>
      </c>
      <c r="H42" s="11"/>
      <c r="I42" s="11"/>
      <c r="M42" s="11"/>
    </row>
    <row r="43" spans="1:13" ht="18" thickBot="1">
      <c r="A43" s="55" t="s">
        <v>57</v>
      </c>
      <c r="B43" s="250">
        <v>9</v>
      </c>
      <c r="C43" s="251" t="s">
        <v>59</v>
      </c>
      <c r="D43" s="365">
        <v>5.6300000000000003E-2</v>
      </c>
      <c r="E43" s="367">
        <v>5.6800000000000003E-2</v>
      </c>
      <c r="F43" s="11"/>
      <c r="H43" s="11"/>
      <c r="I43" s="11"/>
      <c r="M43" s="11"/>
    </row>
    <row r="44" spans="1:13" ht="17.25">
      <c r="A44" s="54" t="s">
        <v>52</v>
      </c>
      <c r="B44" s="248">
        <v>10</v>
      </c>
      <c r="C44" s="249" t="s">
        <v>299</v>
      </c>
      <c r="D44" s="367">
        <v>5.8999999999999997E-2</v>
      </c>
      <c r="E44" s="367">
        <v>5.8799999999999998E-2</v>
      </c>
      <c r="H44" s="11"/>
      <c r="I44" s="11"/>
      <c r="J44" s="11"/>
      <c r="K44" s="11"/>
      <c r="L44" s="11"/>
      <c r="M44" s="11"/>
    </row>
    <row r="45" spans="1:13" ht="17.25">
      <c r="A45" s="54" t="s">
        <v>53</v>
      </c>
      <c r="B45" s="248">
        <v>11</v>
      </c>
      <c r="C45" s="249" t="s">
        <v>300</v>
      </c>
      <c r="D45" s="367">
        <v>5.8999999999999997E-2</v>
      </c>
      <c r="E45" s="367">
        <v>5.8799999999999998E-2</v>
      </c>
      <c r="F45" s="11" t="s">
        <v>191</v>
      </c>
      <c r="H45" s="11"/>
      <c r="I45" s="11"/>
      <c r="J45" s="11"/>
      <c r="K45" s="11"/>
      <c r="L45" s="11"/>
      <c r="M45" s="11"/>
    </row>
    <row r="46" spans="1:13" ht="18" thickBot="1">
      <c r="A46" s="55" t="s">
        <v>58</v>
      </c>
      <c r="B46" s="250">
        <v>12</v>
      </c>
      <c r="C46" s="251" t="s">
        <v>301</v>
      </c>
      <c r="D46" s="367">
        <v>5.8999999999999997E-2</v>
      </c>
      <c r="E46" s="367">
        <v>5.8799999999999998E-2</v>
      </c>
      <c r="F46" s="11"/>
      <c r="H46" s="11"/>
      <c r="I46" s="11"/>
      <c r="J46" s="11"/>
      <c r="K46" s="11"/>
      <c r="L46" s="11"/>
      <c r="M46" s="11"/>
    </row>
    <row r="47" spans="1:13" ht="17.25">
      <c r="A47" s="54" t="s">
        <v>56</v>
      </c>
      <c r="B47" s="248">
        <v>13</v>
      </c>
      <c r="C47" s="249" t="s">
        <v>302</v>
      </c>
      <c r="D47" s="366">
        <v>8.1299999999999997E-2</v>
      </c>
      <c r="E47" s="363">
        <v>8.14E-2</v>
      </c>
      <c r="H47" s="11"/>
      <c r="I47" s="11"/>
      <c r="J47" s="11"/>
      <c r="K47" s="11"/>
      <c r="L47" s="11"/>
      <c r="M47" s="11"/>
    </row>
    <row r="48" spans="1:13" ht="17.25">
      <c r="A48" s="54" t="s">
        <v>132</v>
      </c>
      <c r="B48" s="248">
        <v>14</v>
      </c>
      <c r="C48" s="249" t="s">
        <v>303</v>
      </c>
      <c r="D48" s="363">
        <v>8.1299999999999997E-2</v>
      </c>
      <c r="E48" s="363">
        <v>8.14E-2</v>
      </c>
      <c r="F48" s="11" t="s">
        <v>190</v>
      </c>
      <c r="H48" s="11"/>
      <c r="I48" s="11"/>
      <c r="J48" s="11"/>
      <c r="K48" s="11"/>
      <c r="L48" s="11"/>
      <c r="M48" s="11"/>
    </row>
    <row r="49" spans="1:13" ht="18" thickBot="1">
      <c r="A49" s="55" t="s">
        <v>131</v>
      </c>
      <c r="B49" s="250">
        <v>15</v>
      </c>
      <c r="C49" s="251" t="s">
        <v>304</v>
      </c>
      <c r="D49" s="364">
        <v>8.1299999999999997E-2</v>
      </c>
      <c r="E49" s="363">
        <v>8.14E-2</v>
      </c>
      <c r="F49" s="11"/>
      <c r="H49" s="11"/>
      <c r="I49" s="11"/>
      <c r="J49" s="11"/>
      <c r="K49" s="11"/>
      <c r="L49" s="11"/>
      <c r="M49" s="11"/>
    </row>
    <row r="50" spans="1:13" ht="17.25">
      <c r="A50" s="54" t="s">
        <v>130</v>
      </c>
      <c r="B50" s="248">
        <v>16</v>
      </c>
      <c r="C50" s="249" t="s">
        <v>25</v>
      </c>
      <c r="D50" s="366">
        <v>8.9899999999999994E-2</v>
      </c>
      <c r="E50" s="367">
        <v>0.09</v>
      </c>
      <c r="H50" s="11"/>
      <c r="I50" s="11"/>
      <c r="J50" s="11"/>
      <c r="K50" s="11"/>
      <c r="L50" s="11"/>
      <c r="M50" s="11"/>
    </row>
    <row r="51" spans="1:13" ht="17.25">
      <c r="A51" s="54" t="s">
        <v>129</v>
      </c>
      <c r="B51" s="248">
        <v>17</v>
      </c>
      <c r="C51" s="249" t="s">
        <v>88</v>
      </c>
      <c r="D51" s="367">
        <v>8.9899999999999994E-2</v>
      </c>
      <c r="E51" s="367">
        <v>0.09</v>
      </c>
      <c r="F51" s="11" t="s">
        <v>189</v>
      </c>
      <c r="H51" s="11"/>
      <c r="I51" s="11"/>
      <c r="J51" s="11"/>
      <c r="K51" s="11"/>
      <c r="L51" s="11"/>
      <c r="M51" s="11"/>
    </row>
    <row r="52" spans="1:13" ht="18" thickBot="1">
      <c r="A52" s="55" t="s">
        <v>128</v>
      </c>
      <c r="B52" s="250">
        <v>18</v>
      </c>
      <c r="C52" s="251" t="s">
        <v>305</v>
      </c>
      <c r="D52" s="364">
        <v>8.9899999999999994E-2</v>
      </c>
      <c r="E52" s="367">
        <v>0.09</v>
      </c>
      <c r="F52" s="11"/>
      <c r="H52" s="11"/>
      <c r="I52" s="11"/>
      <c r="J52" s="11"/>
      <c r="K52" s="11"/>
      <c r="L52" s="11"/>
      <c r="M52" s="11"/>
    </row>
    <row r="53" spans="1:13" ht="17.25">
      <c r="A53" s="54" t="s">
        <v>127</v>
      </c>
      <c r="B53" s="248">
        <v>19</v>
      </c>
      <c r="C53" s="249" t="s">
        <v>306</v>
      </c>
      <c r="D53" s="367">
        <v>9.8500000000000004E-2</v>
      </c>
      <c r="E53" s="367">
        <v>9.8599999999999993E-2</v>
      </c>
      <c r="H53" s="11"/>
      <c r="I53" s="11"/>
      <c r="J53" s="11"/>
      <c r="K53" s="11"/>
      <c r="L53" s="11"/>
      <c r="M53" s="11"/>
    </row>
    <row r="54" spans="1:13" ht="17.25">
      <c r="A54" s="54" t="s">
        <v>126</v>
      </c>
      <c r="B54" s="248">
        <v>20</v>
      </c>
      <c r="C54" s="249" t="s">
        <v>307</v>
      </c>
      <c r="D54" s="367">
        <v>9.8500000000000004E-2</v>
      </c>
      <c r="E54" s="367">
        <v>9.8599999999999993E-2</v>
      </c>
      <c r="F54" s="11" t="s">
        <v>186</v>
      </c>
      <c r="H54" s="11"/>
      <c r="I54" s="11"/>
      <c r="J54" s="11"/>
      <c r="K54" s="11"/>
      <c r="L54" s="11"/>
      <c r="M54" s="11"/>
    </row>
    <row r="55" spans="1:13" ht="18" thickBot="1">
      <c r="A55" s="55" t="s">
        <v>125</v>
      </c>
      <c r="B55" s="250">
        <v>21</v>
      </c>
      <c r="C55" s="349" t="s">
        <v>308</v>
      </c>
      <c r="D55" s="365">
        <v>9.8500000000000004E-2</v>
      </c>
      <c r="E55" s="367">
        <v>9.8599999999999993E-2</v>
      </c>
      <c r="F55" s="11"/>
      <c r="H55" s="11"/>
      <c r="I55" s="11"/>
      <c r="J55" s="11"/>
      <c r="K55" s="11"/>
      <c r="L55" s="11"/>
      <c r="M55" s="11"/>
    </row>
    <row r="56" spans="1:13" ht="17.25">
      <c r="A56" s="348" t="s">
        <v>315</v>
      </c>
      <c r="B56" s="351">
        <v>22</v>
      </c>
      <c r="C56" s="368" t="s">
        <v>318</v>
      </c>
      <c r="D56" s="367"/>
      <c r="E56" s="367"/>
      <c r="H56" s="11"/>
      <c r="I56" s="11"/>
      <c r="J56" s="11"/>
      <c r="K56" s="11"/>
      <c r="L56" s="11"/>
      <c r="M56" s="11"/>
    </row>
    <row r="57" spans="1:13" ht="17.25">
      <c r="A57" s="348" t="s">
        <v>316</v>
      </c>
      <c r="B57" s="352">
        <v>23</v>
      </c>
      <c r="C57" s="369" t="s">
        <v>309</v>
      </c>
      <c r="D57" s="367"/>
      <c r="E57" s="367"/>
      <c r="F57" s="11" t="s">
        <v>184</v>
      </c>
      <c r="H57" s="11"/>
      <c r="I57" s="11"/>
      <c r="J57" s="11"/>
      <c r="K57" s="11"/>
      <c r="L57" s="11"/>
      <c r="M57" s="11"/>
    </row>
    <row r="58" spans="1:13" ht="18" thickBot="1">
      <c r="A58" s="350" t="s">
        <v>317</v>
      </c>
      <c r="B58" s="353">
        <v>24</v>
      </c>
      <c r="C58" s="349" t="s">
        <v>319</v>
      </c>
      <c r="D58" s="367"/>
      <c r="E58" s="367"/>
      <c r="F58" s="11"/>
      <c r="H58" s="11"/>
      <c r="I58" s="11"/>
      <c r="J58" s="11"/>
      <c r="K58" s="11"/>
      <c r="L58" s="11"/>
      <c r="M58" s="11"/>
    </row>
    <row r="59" spans="1:13" ht="18" thickBot="1">
      <c r="A59" s="55" t="s">
        <v>247</v>
      </c>
      <c r="B59" s="250">
        <v>25</v>
      </c>
      <c r="C59" s="55" t="s">
        <v>89</v>
      </c>
      <c r="D59" s="370"/>
      <c r="E59" s="370"/>
      <c r="F59" s="11" t="s">
        <v>185</v>
      </c>
      <c r="H59" s="11"/>
      <c r="I59" s="11"/>
      <c r="J59" s="11"/>
      <c r="K59" s="11"/>
      <c r="L59" s="11"/>
    </row>
  </sheetData>
  <pageMargins left="0.25" right="0.25" top="0.75" bottom="0.75" header="0.3" footer="0.3"/>
  <pageSetup scale="44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N38"/>
  <sheetViews>
    <sheetView view="pageBreakPreview" topLeftCell="A18" zoomScale="60" zoomScaleNormal="80" workbookViewId="0">
      <selection activeCell="D4" sqref="D4"/>
    </sheetView>
  </sheetViews>
  <sheetFormatPr defaultRowHeight="15"/>
  <cols>
    <col min="1" max="1" width="48.85546875" customWidth="1"/>
    <col min="2" max="2" width="13.140625" customWidth="1"/>
    <col min="3" max="3" width="19.85546875" customWidth="1"/>
    <col min="4" max="4" width="24.7109375" customWidth="1"/>
    <col min="5" max="5" width="22.7109375" customWidth="1"/>
    <col min="6" max="7" width="21.28515625" customWidth="1"/>
    <col min="8" max="8" width="12.42578125" customWidth="1"/>
    <col min="9" max="9" width="18.42578125" customWidth="1"/>
    <col min="10" max="10" width="21.28515625" customWidth="1"/>
    <col min="11" max="11" width="2.28515625" customWidth="1"/>
    <col min="12" max="12" width="22.7109375" customWidth="1"/>
    <col min="13" max="13" width="17.28515625" customWidth="1"/>
  </cols>
  <sheetData>
    <row r="1" spans="1:14" ht="26.25">
      <c r="A1" s="22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7.25">
      <c r="A2" s="59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6.5">
      <c r="A3" s="24" t="s">
        <v>465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6.5">
      <c r="A4" s="11"/>
      <c r="B4" s="11"/>
      <c r="C4" s="11"/>
      <c r="D4" s="488" t="s">
        <v>0</v>
      </c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ht="18" thickBot="1">
      <c r="A5" s="59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8" thickBot="1">
      <c r="A6" s="236" t="str">
        <f>+'S&amp;D'!A12</f>
        <v>Natural Gas Transmission Pipeline Carrier</v>
      </c>
      <c r="B6" s="17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17.25">
      <c r="A7" s="59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ht="18" thickBot="1">
      <c r="A8" s="59"/>
      <c r="B8" s="11"/>
      <c r="C8" s="27"/>
      <c r="D8" s="27"/>
      <c r="E8" s="27"/>
      <c r="F8" s="11"/>
      <c r="G8" s="11"/>
      <c r="H8" s="27"/>
      <c r="I8" s="27"/>
      <c r="J8" s="27"/>
      <c r="K8" s="27"/>
      <c r="L8" s="27"/>
      <c r="M8" s="27"/>
      <c r="N8" s="11"/>
    </row>
    <row r="9" spans="1:14" ht="26.25">
      <c r="B9" s="11"/>
      <c r="C9" s="11"/>
      <c r="D9" s="29" t="s">
        <v>283</v>
      </c>
      <c r="E9" s="11"/>
      <c r="F9" s="11"/>
      <c r="G9" s="11"/>
      <c r="H9" s="11"/>
      <c r="I9" s="11"/>
      <c r="J9" s="11"/>
      <c r="K9" s="65" t="s">
        <v>284</v>
      </c>
      <c r="L9" s="11"/>
      <c r="M9" s="11"/>
      <c r="N9" s="11"/>
    </row>
    <row r="10" spans="1:14" ht="21" thickBot="1">
      <c r="A10" s="28"/>
      <c r="B10" s="11"/>
      <c r="C10" s="27"/>
      <c r="D10" s="30" t="s">
        <v>477</v>
      </c>
      <c r="E10" s="27"/>
      <c r="F10" s="11"/>
      <c r="G10" s="11"/>
      <c r="H10" s="27"/>
      <c r="I10" s="27"/>
      <c r="J10" s="27"/>
      <c r="K10" s="30" t="s">
        <v>477</v>
      </c>
      <c r="L10" s="27"/>
      <c r="M10" s="27"/>
      <c r="N10" s="11"/>
    </row>
    <row r="11" spans="1:14" ht="17.25" thickBot="1">
      <c r="A11" s="31" t="s">
        <v>0</v>
      </c>
      <c r="B11" s="31" t="s">
        <v>0</v>
      </c>
      <c r="C11" s="31" t="s">
        <v>0</v>
      </c>
      <c r="D11" s="31" t="s">
        <v>0</v>
      </c>
      <c r="E11" s="31" t="s">
        <v>0</v>
      </c>
      <c r="F11" s="31" t="s">
        <v>0</v>
      </c>
      <c r="G11" s="38"/>
      <c r="H11" s="27"/>
      <c r="I11" s="31" t="s">
        <v>0</v>
      </c>
      <c r="J11" s="27"/>
      <c r="K11" s="27"/>
      <c r="L11" s="27"/>
      <c r="M11" s="27"/>
      <c r="N11" s="11"/>
    </row>
    <row r="12" spans="1:14" ht="16.5">
      <c r="A12" s="32" t="s">
        <v>0</v>
      </c>
      <c r="B12" s="32" t="s">
        <v>3</v>
      </c>
      <c r="C12" s="32" t="s">
        <v>325</v>
      </c>
      <c r="D12" s="32" t="s">
        <v>109</v>
      </c>
      <c r="E12" s="32" t="s">
        <v>109</v>
      </c>
      <c r="F12" s="32" t="s">
        <v>26</v>
      </c>
      <c r="G12" s="32"/>
      <c r="H12" s="32" t="s">
        <v>3</v>
      </c>
      <c r="I12" s="32" t="s">
        <v>325</v>
      </c>
      <c r="J12" s="32" t="s">
        <v>109</v>
      </c>
      <c r="K12" s="32"/>
      <c r="L12" s="32" t="s">
        <v>109</v>
      </c>
      <c r="M12" s="32" t="s">
        <v>26</v>
      </c>
      <c r="N12" s="11"/>
    </row>
    <row r="13" spans="1:14" ht="17.25" thickBot="1">
      <c r="A13" s="34" t="s">
        <v>2</v>
      </c>
      <c r="B13" s="34" t="s">
        <v>4</v>
      </c>
      <c r="C13" s="34" t="s">
        <v>27</v>
      </c>
      <c r="D13" s="34" t="s">
        <v>158</v>
      </c>
      <c r="E13" s="34" t="s">
        <v>28</v>
      </c>
      <c r="F13" s="34" t="s">
        <v>29</v>
      </c>
      <c r="G13" s="32"/>
      <c r="H13" s="34" t="s">
        <v>4</v>
      </c>
      <c r="I13" s="34" t="s">
        <v>27</v>
      </c>
      <c r="J13" s="34" t="s">
        <v>158</v>
      </c>
      <c r="K13" s="34"/>
      <c r="L13" s="34" t="s">
        <v>28</v>
      </c>
      <c r="M13" s="34" t="s">
        <v>29</v>
      </c>
      <c r="N13" s="11"/>
    </row>
    <row r="14" spans="1:14" ht="16.5">
      <c r="A14" s="36" t="s">
        <v>0</v>
      </c>
      <c r="B14" s="36" t="s">
        <v>0</v>
      </c>
      <c r="C14" s="37" t="s">
        <v>112</v>
      </c>
      <c r="D14" s="36" t="s">
        <v>113</v>
      </c>
      <c r="E14" s="36" t="s">
        <v>0</v>
      </c>
      <c r="F14" s="36" t="s">
        <v>0</v>
      </c>
      <c r="G14" s="38"/>
      <c r="H14" s="36" t="s">
        <v>0</v>
      </c>
      <c r="I14" s="37" t="s">
        <v>112</v>
      </c>
      <c r="J14" s="36" t="s">
        <v>114</v>
      </c>
      <c r="K14" s="36"/>
      <c r="L14" s="36" t="s">
        <v>0</v>
      </c>
      <c r="M14" s="36" t="s">
        <v>0</v>
      </c>
      <c r="N14" s="11"/>
    </row>
    <row r="15" spans="1:14" ht="16.5">
      <c r="A15" s="32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11"/>
    </row>
    <row r="16" spans="1:14" ht="16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 spans="1:14" ht="17.25">
      <c r="A17" s="59" t="str">
        <f>+'S&amp;D'!A22</f>
        <v>Enbridge Inc</v>
      </c>
      <c r="B17" s="86" t="str">
        <f>+'S&amp;D'!B22</f>
        <v>ENB.TO</v>
      </c>
      <c r="C17" s="56">
        <f>+'S&amp;D'!G22</f>
        <v>65.680000000000007</v>
      </c>
      <c r="D17" s="321">
        <v>5.05</v>
      </c>
      <c r="E17" s="68">
        <f t="shared" ref="E17:E20" si="0">C17/D17</f>
        <v>13.005940594059409</v>
      </c>
      <c r="F17" s="53">
        <f t="shared" ref="F17:F20" si="1">1/E17</f>
        <v>7.6887941534713747E-2</v>
      </c>
      <c r="G17" s="53"/>
      <c r="H17" s="86" t="str">
        <f t="shared" ref="H17:H20" si="2">+B17</f>
        <v>ENB.TO</v>
      </c>
      <c r="I17" s="56">
        <f t="shared" ref="I17:I20" si="3">+C17</f>
        <v>65.680000000000007</v>
      </c>
      <c r="J17" s="339">
        <v>5.35</v>
      </c>
      <c r="K17" s="58"/>
      <c r="L17" s="68">
        <f t="shared" ref="L17:L20" si="4">I17/J17</f>
        <v>12.276635514018693</v>
      </c>
      <c r="M17" s="53">
        <f t="shared" ref="M17:M20" si="5">1/L17</f>
        <v>8.1455542021924468E-2</v>
      </c>
      <c r="N17" s="11"/>
    </row>
    <row r="18" spans="1:14" ht="17.25">
      <c r="A18" s="59" t="str">
        <f>+'S&amp;D'!A23</f>
        <v>Energy Transfer LP</v>
      </c>
      <c r="B18" s="86" t="str">
        <f>+'S&amp;D'!B23</f>
        <v>ET</v>
      </c>
      <c r="C18" s="56">
        <f>+'S&amp;D'!G23</f>
        <v>16.489999999999998</v>
      </c>
      <c r="D18" s="321">
        <v>3</v>
      </c>
      <c r="E18" s="68">
        <f t="shared" si="0"/>
        <v>5.4966666666666661</v>
      </c>
      <c r="F18" s="53">
        <f t="shared" si="1"/>
        <v>0.18192844147968468</v>
      </c>
      <c r="G18" s="53"/>
      <c r="H18" s="86" t="str">
        <f t="shared" si="2"/>
        <v>ET</v>
      </c>
      <c r="I18" s="56">
        <f t="shared" si="3"/>
        <v>16.489999999999998</v>
      </c>
      <c r="J18" s="339">
        <v>3.25</v>
      </c>
      <c r="K18" s="58"/>
      <c r="L18" s="68">
        <f t="shared" si="4"/>
        <v>5.0738461538461532</v>
      </c>
      <c r="M18" s="53">
        <f t="shared" si="5"/>
        <v>0.19708914493632507</v>
      </c>
      <c r="N18" s="11"/>
    </row>
    <row r="19" spans="1:14" ht="17.25">
      <c r="A19" s="59" t="str">
        <f>+'S&amp;D'!A24</f>
        <v>Enterprise Products Partnership LP</v>
      </c>
      <c r="B19" s="86" t="str">
        <f>+'S&amp;D'!B24</f>
        <v>EPD</v>
      </c>
      <c r="C19" s="56">
        <f>+'S&amp;D'!G24</f>
        <v>32.06</v>
      </c>
      <c r="D19" s="321">
        <v>4.2</v>
      </c>
      <c r="E19" s="68">
        <f t="shared" si="0"/>
        <v>7.6333333333333337</v>
      </c>
      <c r="F19" s="53">
        <f t="shared" si="1"/>
        <v>0.13100436681222707</v>
      </c>
      <c r="G19" s="53"/>
      <c r="H19" s="86" t="str">
        <f t="shared" si="2"/>
        <v>EPD</v>
      </c>
      <c r="I19" s="56">
        <f t="shared" si="3"/>
        <v>32.06</v>
      </c>
      <c r="J19" s="339">
        <v>4.5999999999999996</v>
      </c>
      <c r="K19" s="58"/>
      <c r="L19" s="68" t="s">
        <v>463</v>
      </c>
      <c r="M19" s="51" t="s">
        <v>463</v>
      </c>
      <c r="N19" s="11"/>
    </row>
    <row r="20" spans="1:14" ht="17.25">
      <c r="A20" s="59" t="str">
        <f>+'S&amp;D'!A25</f>
        <v>Kinder Morgan Inc</v>
      </c>
      <c r="B20" s="86" t="str">
        <f>+'S&amp;D'!B25</f>
        <v>KMI</v>
      </c>
      <c r="C20" s="56">
        <f>+'S&amp;D'!G25</f>
        <v>27.49</v>
      </c>
      <c r="D20" s="321">
        <v>2.5499999999999998</v>
      </c>
      <c r="E20" s="68">
        <f t="shared" si="0"/>
        <v>10.780392156862746</v>
      </c>
      <c r="F20" s="53">
        <f t="shared" si="1"/>
        <v>9.2761004001455066E-2</v>
      </c>
      <c r="G20" s="53"/>
      <c r="H20" s="86" t="str">
        <f t="shared" si="2"/>
        <v>KMI</v>
      </c>
      <c r="I20" s="56">
        <f t="shared" si="3"/>
        <v>27.49</v>
      </c>
      <c r="J20" s="339">
        <v>2.7</v>
      </c>
      <c r="K20" s="58"/>
      <c r="L20" s="68">
        <f t="shared" si="4"/>
        <v>10.18148148148148</v>
      </c>
      <c r="M20" s="53">
        <f t="shared" si="5"/>
        <v>9.8217533648599503E-2</v>
      </c>
      <c r="N20" s="11"/>
    </row>
    <row r="21" spans="1:14" ht="17.25">
      <c r="A21" s="59" t="str">
        <f>+'S&amp;D'!A26</f>
        <v>ONEOK Inc</v>
      </c>
      <c r="B21" s="86" t="str">
        <f>+'S&amp;D'!B26</f>
        <v>OKE</v>
      </c>
      <c r="C21" s="56">
        <f>+'S&amp;D'!G26</f>
        <v>73.5</v>
      </c>
      <c r="D21" s="321">
        <v>8.65</v>
      </c>
      <c r="E21" s="68">
        <f t="shared" ref="E21:E23" si="6">C21/D21</f>
        <v>8.497109826589595</v>
      </c>
      <c r="F21" s="53">
        <f t="shared" ref="F21:F23" si="7">1/E21</f>
        <v>0.11768707482993197</v>
      </c>
      <c r="G21" s="53"/>
      <c r="H21" s="86" t="str">
        <f t="shared" ref="H21:H23" si="8">+B21</f>
        <v>OKE</v>
      </c>
      <c r="I21" s="56">
        <f t="shared" ref="I21:I23" si="9">+C21</f>
        <v>73.5</v>
      </c>
      <c r="J21" s="339">
        <v>9.5</v>
      </c>
      <c r="K21" s="58"/>
      <c r="L21" s="68">
        <f t="shared" ref="L21:L23" si="10">I21/J21</f>
        <v>7.7368421052631575</v>
      </c>
      <c r="M21" s="53">
        <f t="shared" ref="M21:M23" si="11">1/L21</f>
        <v>0.12925170068027211</v>
      </c>
      <c r="N21" s="11"/>
    </row>
    <row r="22" spans="1:14" ht="17.25">
      <c r="A22" s="59" t="str">
        <f>+'S&amp;D'!A27</f>
        <v>TC Energy Corp</v>
      </c>
      <c r="B22" s="86" t="str">
        <f>+'S&amp;D'!B27</f>
        <v>TRP</v>
      </c>
      <c r="C22" s="56">
        <f>+'S&amp;D'!G27</f>
        <v>55.01</v>
      </c>
      <c r="D22" s="321">
        <v>5.35</v>
      </c>
      <c r="E22" s="68">
        <f t="shared" si="6"/>
        <v>10.282242990654206</v>
      </c>
      <c r="F22" s="53">
        <f t="shared" si="7"/>
        <v>9.7255044537356838E-2</v>
      </c>
      <c r="G22" s="53"/>
      <c r="H22" s="86" t="str">
        <f t="shared" si="8"/>
        <v>TRP</v>
      </c>
      <c r="I22" s="56">
        <f t="shared" si="9"/>
        <v>55.01</v>
      </c>
      <c r="J22" s="339">
        <v>6</v>
      </c>
      <c r="K22" s="58"/>
      <c r="L22" s="68">
        <f t="shared" si="10"/>
        <v>9.168333333333333</v>
      </c>
      <c r="M22" s="53">
        <f t="shared" si="11"/>
        <v>0.10907107798582076</v>
      </c>
      <c r="N22" s="11"/>
    </row>
    <row r="23" spans="1:14" ht="17.25">
      <c r="A23" s="59" t="str">
        <f>+'S&amp;D'!A28</f>
        <v>Williams Companys Inc</v>
      </c>
      <c r="B23" s="86" t="str">
        <f>+'S&amp;D'!B28</f>
        <v>WMB</v>
      </c>
      <c r="C23" s="56">
        <f>+'S&amp;D'!G28</f>
        <v>60.11</v>
      </c>
      <c r="D23" s="321">
        <v>4.55</v>
      </c>
      <c r="E23" s="68">
        <f t="shared" si="6"/>
        <v>13.210989010989012</v>
      </c>
      <c r="F23" s="53">
        <f t="shared" si="7"/>
        <v>7.5694559973382133E-2</v>
      </c>
      <c r="G23" s="53"/>
      <c r="H23" s="86" t="str">
        <f t="shared" si="8"/>
        <v>WMB</v>
      </c>
      <c r="I23" s="56">
        <f t="shared" si="9"/>
        <v>60.11</v>
      </c>
      <c r="J23" s="339">
        <v>5.0999999999999996</v>
      </c>
      <c r="K23" s="58"/>
      <c r="L23" s="68">
        <f t="shared" si="10"/>
        <v>11.786274509803922</v>
      </c>
      <c r="M23" s="53">
        <f t="shared" si="11"/>
        <v>8.4844451838296447E-2</v>
      </c>
      <c r="N23" s="11"/>
    </row>
    <row r="24" spans="1:14" ht="17.25" thickBot="1">
      <c r="A24" s="11"/>
      <c r="B24" s="66"/>
      <c r="C24" s="66"/>
      <c r="D24" s="66"/>
      <c r="E24" s="66"/>
      <c r="F24" s="66"/>
      <c r="G24" s="11"/>
      <c r="H24" s="66"/>
      <c r="I24" s="66"/>
      <c r="J24" s="270"/>
      <c r="K24" s="66"/>
      <c r="L24" s="66"/>
      <c r="M24" s="66"/>
      <c r="N24" s="11"/>
    </row>
    <row r="25" spans="1:14" ht="17.25" thickTop="1">
      <c r="A25" s="11"/>
      <c r="C25" s="13" t="s">
        <v>45</v>
      </c>
      <c r="D25" s="67">
        <f>+MAX(D17:D23)</f>
        <v>8.65</v>
      </c>
      <c r="E25" s="67">
        <f>+MAX(E17:E23)</f>
        <v>13.210989010989012</v>
      </c>
      <c r="F25" s="279">
        <f>+MAX(F17:F23)</f>
        <v>0.18192844147968468</v>
      </c>
      <c r="I25" s="13" t="s">
        <v>45</v>
      </c>
      <c r="J25" s="67">
        <f>+MAX(J17:J23)</f>
        <v>9.5</v>
      </c>
      <c r="K25" s="67"/>
      <c r="L25" s="67">
        <f>+MAX(L17:L23)</f>
        <v>12.276635514018693</v>
      </c>
      <c r="M25" s="279">
        <f>+MAX(M17:M23)</f>
        <v>0.19708914493632507</v>
      </c>
      <c r="N25" s="11"/>
    </row>
    <row r="26" spans="1:14" ht="16.5">
      <c r="A26" s="11"/>
      <c r="C26" s="303" t="s">
        <v>46</v>
      </c>
      <c r="D26" s="306">
        <f>MIN(D17:D23)</f>
        <v>2.5499999999999998</v>
      </c>
      <c r="E26" s="306">
        <f>MIN(E17:E23)</f>
        <v>5.4966666666666661</v>
      </c>
      <c r="F26" s="300">
        <f>MIN(F17:F23)</f>
        <v>7.5694559973382133E-2</v>
      </c>
      <c r="I26" s="303" t="s">
        <v>46</v>
      </c>
      <c r="J26" s="306">
        <f t="shared" ref="J26:M26" si="12">MIN(J17:J23)</f>
        <v>2.7</v>
      </c>
      <c r="K26" s="306"/>
      <c r="L26" s="306">
        <f t="shared" si="12"/>
        <v>5.0738461538461532</v>
      </c>
      <c r="M26" s="300">
        <f t="shared" si="12"/>
        <v>8.1455542021924468E-2</v>
      </c>
      <c r="N26" s="11"/>
    </row>
    <row r="27" spans="1:14" ht="16.5">
      <c r="A27" s="11"/>
      <c r="C27" s="13" t="s">
        <v>18</v>
      </c>
      <c r="D27" s="68">
        <f>MEDIAN(D17:D23)</f>
        <v>4.55</v>
      </c>
      <c r="E27" s="20">
        <f>MEDIAN(E17:E23)</f>
        <v>10.282242990654206</v>
      </c>
      <c r="F27" s="53">
        <f>MEDIAN(F17:F23)</f>
        <v>9.7255044537356838E-2</v>
      </c>
      <c r="G27" s="53"/>
      <c r="I27" s="13" t="s">
        <v>18</v>
      </c>
      <c r="J27" s="68">
        <f>MEDIAN(J17:J23)</f>
        <v>5.0999999999999996</v>
      </c>
      <c r="K27" s="68"/>
      <c r="L27" s="20">
        <f>MEDIAN(L17:L23)</f>
        <v>9.6749074074074066</v>
      </c>
      <c r="M27" s="53">
        <f>MEDIAN(M17:M23)</f>
        <v>0.10364430581721013</v>
      </c>
      <c r="N27" s="11"/>
    </row>
    <row r="28" spans="1:14" ht="16.5">
      <c r="A28" s="11"/>
      <c r="C28" s="13" t="s">
        <v>387</v>
      </c>
      <c r="D28" s="16">
        <f>AVERAGE(D17:D23)</f>
        <v>4.7642857142857142</v>
      </c>
      <c r="E28" s="20">
        <f>AVERAGE(E17:E23)</f>
        <v>9.8438106541649955</v>
      </c>
      <c r="F28" s="69">
        <f>AVERAGE(F17:F23)</f>
        <v>0.11045977616696452</v>
      </c>
      <c r="G28" s="69"/>
      <c r="I28" s="13" t="s">
        <v>387</v>
      </c>
      <c r="J28" s="16">
        <f>AVERAGE(J17:J23)</f>
        <v>5.2142857142857144</v>
      </c>
      <c r="K28" s="16"/>
      <c r="L28" s="20">
        <f>AVERAGE(L17:L23)</f>
        <v>9.3705688496244584</v>
      </c>
      <c r="M28" s="69">
        <f>AVERAGE(M17:M23)</f>
        <v>0.11665490851853973</v>
      </c>
      <c r="N28" s="11"/>
    </row>
    <row r="29" spans="1:14" ht="16.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</row>
    <row r="30" spans="1:14" ht="26.25">
      <c r="A30" s="11"/>
      <c r="B30" s="11"/>
      <c r="C30" s="11"/>
      <c r="D30" s="73" t="s">
        <v>73</v>
      </c>
      <c r="E30" s="280">
        <v>9.84</v>
      </c>
      <c r="F30" s="281">
        <v>0.1105</v>
      </c>
      <c r="G30" s="243"/>
      <c r="H30" s="11"/>
      <c r="I30" s="11"/>
      <c r="J30" s="73" t="s">
        <v>73</v>
      </c>
      <c r="K30" s="46"/>
      <c r="L30" s="282">
        <v>9.3699999999999992</v>
      </c>
      <c r="M30" s="281">
        <v>0.1167</v>
      </c>
      <c r="N30" s="11"/>
    </row>
    <row r="31" spans="1:14" ht="30" customHeight="1" thickBot="1">
      <c r="A31" s="11"/>
      <c r="B31" s="11"/>
      <c r="C31" s="11"/>
      <c r="D31" s="11"/>
      <c r="E31" s="11"/>
      <c r="G31" s="70"/>
      <c r="H31" s="11"/>
      <c r="I31" s="11"/>
      <c r="J31" s="11"/>
      <c r="K31" s="11"/>
      <c r="L31" s="11"/>
      <c r="M31" s="11"/>
      <c r="N31" s="11"/>
    </row>
    <row r="32" spans="1:14" ht="27" thickBot="1">
      <c r="A32" s="71" t="s">
        <v>0</v>
      </c>
      <c r="B32" s="11"/>
      <c r="C32" s="11"/>
      <c r="D32" s="11"/>
      <c r="E32" s="22" t="s">
        <v>118</v>
      </c>
      <c r="F32" s="22"/>
      <c r="G32" s="192">
        <f>(+E30+L30)/2</f>
        <v>9.6050000000000004</v>
      </c>
      <c r="H32" s="193">
        <f>(+F30+M30)/2</f>
        <v>0.11360000000000001</v>
      </c>
      <c r="K32" s="11"/>
      <c r="N32" s="11"/>
    </row>
    <row r="33" spans="1:14" ht="16.5">
      <c r="A33" s="71" t="s">
        <v>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</row>
    <row r="34" spans="1:14" ht="16.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</row>
    <row r="35" spans="1:14" ht="16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</row>
    <row r="36" spans="1:14" ht="17.25">
      <c r="A36" s="102" t="s">
        <v>331</v>
      </c>
    </row>
    <row r="37" spans="1:14" ht="17.25">
      <c r="A37" s="102" t="s">
        <v>332</v>
      </c>
    </row>
    <row r="38" spans="1:14" ht="17.25">
      <c r="A38" s="102" t="s">
        <v>333</v>
      </c>
    </row>
  </sheetData>
  <pageMargins left="0.25" right="0.25" top="0.75" bottom="0.75" header="0.3" footer="0.3"/>
  <pageSetup scale="4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AAB1-5671-4283-A0D0-11DDA5DBBF04}">
  <sheetPr>
    <tabColor rgb="FF92D050"/>
  </sheetPr>
  <dimension ref="A1:O59"/>
  <sheetViews>
    <sheetView view="pageBreakPreview" topLeftCell="A20" zoomScale="60" zoomScaleNormal="80" workbookViewId="0">
      <selection activeCell="E4" sqref="E4"/>
    </sheetView>
  </sheetViews>
  <sheetFormatPr defaultRowHeight="15"/>
  <cols>
    <col min="1" max="1" width="53.85546875" customWidth="1"/>
    <col min="2" max="2" width="8" customWidth="1"/>
    <col min="3" max="3" width="12.28515625" bestFit="1" customWidth="1"/>
    <col min="4" max="4" width="20.140625" customWidth="1"/>
    <col min="5" max="5" width="18.85546875" customWidth="1"/>
    <col min="6" max="6" width="19" customWidth="1"/>
    <col min="7" max="7" width="16.42578125" customWidth="1"/>
    <col min="8" max="10" width="19.28515625" customWidth="1"/>
    <col min="11" max="12" width="21.5703125" customWidth="1"/>
    <col min="13" max="13" width="18.28515625" customWidth="1"/>
  </cols>
  <sheetData>
    <row r="1" spans="1:15" ht="26.25">
      <c r="A1" s="22" t="s">
        <v>1</v>
      </c>
      <c r="B1" s="22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17.25">
      <c r="A2" s="59" t="s">
        <v>9</v>
      </c>
      <c r="B2" s="59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16.5">
      <c r="A3" s="24" t="s">
        <v>465</v>
      </c>
      <c r="B3" s="4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6.5">
      <c r="A4" s="11"/>
      <c r="B4" s="11"/>
      <c r="C4" s="11"/>
      <c r="D4" s="11"/>
      <c r="E4" s="488" t="s">
        <v>0</v>
      </c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ht="18" thickBot="1">
      <c r="A5" s="59"/>
      <c r="B5" s="5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ht="21" thickBot="1">
      <c r="A6" s="234" t="str">
        <f>+'S&amp;D'!A12</f>
        <v>Natural Gas Transmission Pipeline Carrier</v>
      </c>
      <c r="B6" s="237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8" thickBot="1">
      <c r="A7" s="59"/>
      <c r="B7" s="59"/>
      <c r="C7" s="27"/>
      <c r="D7" s="27"/>
      <c r="E7" s="27"/>
      <c r="F7" s="27"/>
      <c r="G7" s="27"/>
      <c r="H7" s="11"/>
      <c r="I7" s="27"/>
      <c r="J7" s="27"/>
      <c r="K7" s="27"/>
      <c r="L7" s="27"/>
      <c r="M7" s="27"/>
      <c r="N7" s="11"/>
      <c r="O7" s="11"/>
    </row>
    <row r="8" spans="1:15" ht="26.25">
      <c r="B8" s="28"/>
      <c r="C8" s="11"/>
      <c r="D8" s="11"/>
      <c r="E8" s="29" t="s">
        <v>223</v>
      </c>
      <c r="F8" s="11"/>
      <c r="G8" s="11"/>
      <c r="H8" s="11"/>
      <c r="I8" s="11"/>
      <c r="J8" s="11"/>
      <c r="K8" s="29" t="s">
        <v>224</v>
      </c>
      <c r="L8" s="11"/>
      <c r="M8" s="11"/>
      <c r="N8" s="11"/>
      <c r="O8" s="11"/>
    </row>
    <row r="9" spans="1:15" ht="21" thickBot="1">
      <c r="A9" s="28"/>
      <c r="B9" s="28"/>
      <c r="C9" s="27"/>
      <c r="D9" s="27"/>
      <c r="E9" s="30" t="s">
        <v>477</v>
      </c>
      <c r="F9" s="27"/>
      <c r="G9" s="27"/>
      <c r="H9" s="11"/>
      <c r="I9" s="27"/>
      <c r="J9" s="27"/>
      <c r="K9" s="30" t="s">
        <v>477</v>
      </c>
      <c r="L9" s="27"/>
      <c r="M9" s="27"/>
      <c r="N9" s="11"/>
      <c r="O9" s="11"/>
    </row>
    <row r="10" spans="1:15" ht="17.25" thickBot="1">
      <c r="A10" s="31" t="s">
        <v>0</v>
      </c>
      <c r="B10" s="31"/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11"/>
      <c r="I10" s="27"/>
      <c r="J10" s="27"/>
      <c r="K10" s="27"/>
      <c r="L10" s="27"/>
      <c r="M10" s="27"/>
      <c r="N10" s="11"/>
      <c r="O10" s="11"/>
    </row>
    <row r="11" spans="1:15" ht="16.5">
      <c r="A11" s="32" t="s">
        <v>0</v>
      </c>
      <c r="B11" s="32"/>
      <c r="C11" s="32" t="s">
        <v>3</v>
      </c>
      <c r="D11" s="32" t="s">
        <v>325</v>
      </c>
      <c r="E11" s="32" t="s">
        <v>327</v>
      </c>
      <c r="F11" s="32" t="s">
        <v>110</v>
      </c>
      <c r="G11" s="32" t="s">
        <v>26</v>
      </c>
      <c r="H11" s="11"/>
      <c r="I11" s="32" t="s">
        <v>3</v>
      </c>
      <c r="J11" s="32" t="s">
        <v>325</v>
      </c>
      <c r="K11" s="32" t="s">
        <v>327</v>
      </c>
      <c r="L11" s="32" t="s">
        <v>110</v>
      </c>
      <c r="M11" s="32" t="s">
        <v>26</v>
      </c>
      <c r="N11" s="11"/>
      <c r="O11" s="11"/>
    </row>
    <row r="12" spans="1:15" ht="17.25" thickBot="1">
      <c r="A12" s="34" t="s">
        <v>2</v>
      </c>
      <c r="B12" s="34"/>
      <c r="C12" s="34" t="s">
        <v>4</v>
      </c>
      <c r="D12" s="34" t="s">
        <v>27</v>
      </c>
      <c r="E12" s="34" t="s">
        <v>158</v>
      </c>
      <c r="F12" s="34" t="s">
        <v>28</v>
      </c>
      <c r="G12" s="34" t="s">
        <v>29</v>
      </c>
      <c r="H12" s="11"/>
      <c r="I12" s="34" t="s">
        <v>4</v>
      </c>
      <c r="J12" s="34" t="s">
        <v>27</v>
      </c>
      <c r="K12" s="34" t="s">
        <v>158</v>
      </c>
      <c r="L12" s="34" t="s">
        <v>28</v>
      </c>
      <c r="M12" s="34" t="s">
        <v>29</v>
      </c>
      <c r="N12" s="11"/>
      <c r="O12" s="11"/>
    </row>
    <row r="13" spans="1:15" ht="16.5">
      <c r="A13" s="36" t="s">
        <v>0</v>
      </c>
      <c r="B13" s="36"/>
      <c r="C13" s="36" t="s">
        <v>0</v>
      </c>
      <c r="D13" s="37" t="s">
        <v>112</v>
      </c>
      <c r="E13" s="72" t="s">
        <v>113</v>
      </c>
      <c r="F13" s="36" t="s">
        <v>0</v>
      </c>
      <c r="G13" s="36" t="s">
        <v>0</v>
      </c>
      <c r="H13" s="11"/>
      <c r="I13" s="36" t="s">
        <v>0</v>
      </c>
      <c r="J13" s="37" t="s">
        <v>112</v>
      </c>
      <c r="K13" s="72" t="s">
        <v>111</v>
      </c>
      <c r="L13" s="36" t="s">
        <v>0</v>
      </c>
      <c r="M13" s="36" t="s">
        <v>0</v>
      </c>
      <c r="N13" s="11"/>
      <c r="O13" s="11"/>
    </row>
    <row r="14" spans="1:15" ht="16.5">
      <c r="A14" s="32"/>
      <c r="B14" s="32"/>
      <c r="C14" s="32"/>
      <c r="D14" s="32"/>
      <c r="E14" s="32"/>
      <c r="F14" s="32"/>
      <c r="G14" s="32"/>
      <c r="H14" s="11"/>
      <c r="I14" s="32"/>
      <c r="J14" s="32"/>
      <c r="K14" s="32"/>
      <c r="L14" s="32"/>
      <c r="M14" s="32"/>
      <c r="N14" s="11"/>
      <c r="O14" s="11"/>
    </row>
    <row r="15" spans="1:15" ht="16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spans="1:15" ht="17.25">
      <c r="A16" s="59" t="str">
        <f>+'S&amp;D'!A22</f>
        <v>Enbridge Inc</v>
      </c>
      <c r="B16" s="59"/>
      <c r="C16" s="86" t="str">
        <f>+'S&amp;D'!B22</f>
        <v>ENB.TO</v>
      </c>
      <c r="D16" s="56">
        <f>'S&amp;D'!G22</f>
        <v>65.680000000000007</v>
      </c>
      <c r="E16" s="321">
        <f>+Earnings!E16</f>
        <v>2.6</v>
      </c>
      <c r="F16" s="68">
        <f t="shared" ref="F16:F19" si="0">D16/E16</f>
        <v>25.261538461538464</v>
      </c>
      <c r="G16" s="53">
        <f t="shared" ref="G16:G19" si="1">1/F16</f>
        <v>3.9585870889159561E-2</v>
      </c>
      <c r="H16" s="11"/>
      <c r="I16" s="32" t="str">
        <f t="shared" ref="I16:I19" si="2">+C16</f>
        <v>ENB.TO</v>
      </c>
      <c r="J16" s="56">
        <f t="shared" ref="J16:J19" si="3">+D16</f>
        <v>65.680000000000007</v>
      </c>
      <c r="K16" s="321">
        <f>+Earnings!G16</f>
        <v>2.7</v>
      </c>
      <c r="L16" s="68">
        <f t="shared" ref="L16:L19" si="4">J16/K16</f>
        <v>24.325925925925926</v>
      </c>
      <c r="M16" s="53">
        <f t="shared" ref="M16:M19" si="5">1/L16</f>
        <v>4.110840438489647E-2</v>
      </c>
      <c r="N16" s="11"/>
      <c r="O16" s="11"/>
    </row>
    <row r="17" spans="1:15" ht="17.25">
      <c r="A17" s="59" t="str">
        <f>+'S&amp;D'!A23</f>
        <v>Energy Transfer LP</v>
      </c>
      <c r="B17" s="59"/>
      <c r="C17" s="86" t="str">
        <f>+'S&amp;D'!B23</f>
        <v>ET</v>
      </c>
      <c r="D17" s="56">
        <f>'S&amp;D'!G23</f>
        <v>16.489999999999998</v>
      </c>
      <c r="E17" s="321">
        <f>+Earnings!E17</f>
        <v>1.4</v>
      </c>
      <c r="F17" s="68">
        <f t="shared" si="0"/>
        <v>11.778571428571428</v>
      </c>
      <c r="G17" s="53">
        <f t="shared" si="1"/>
        <v>8.4899939357186177E-2</v>
      </c>
      <c r="H17" s="11"/>
      <c r="I17" s="32" t="str">
        <f t="shared" si="2"/>
        <v>ET</v>
      </c>
      <c r="J17" s="56">
        <f t="shared" si="3"/>
        <v>16.489999999999998</v>
      </c>
      <c r="K17" s="321">
        <f>+Earnings!G17</f>
        <v>1.5</v>
      </c>
      <c r="L17" s="68">
        <f t="shared" si="4"/>
        <v>10.993333333333332</v>
      </c>
      <c r="M17" s="53">
        <f t="shared" si="5"/>
        <v>9.0964220739842339E-2</v>
      </c>
      <c r="N17" s="11"/>
      <c r="O17" s="11"/>
    </row>
    <row r="18" spans="1:15" ht="17.25">
      <c r="A18" s="59" t="str">
        <f>+'S&amp;D'!A24</f>
        <v>Enterprise Products Partnership LP</v>
      </c>
      <c r="B18" s="59"/>
      <c r="C18" s="86" t="str">
        <f>+'S&amp;D'!B24</f>
        <v>EPD</v>
      </c>
      <c r="D18" s="56">
        <f>'S&amp;D'!G24</f>
        <v>32.06</v>
      </c>
      <c r="E18" s="321">
        <f>+Earnings!E18</f>
        <v>2.8</v>
      </c>
      <c r="F18" s="68">
        <f t="shared" si="0"/>
        <v>11.450000000000001</v>
      </c>
      <c r="G18" s="53">
        <f t="shared" si="1"/>
        <v>8.7336244541484712E-2</v>
      </c>
      <c r="H18" s="11"/>
      <c r="I18" s="32" t="str">
        <f t="shared" si="2"/>
        <v>EPD</v>
      </c>
      <c r="J18" s="56">
        <f t="shared" si="3"/>
        <v>32.06</v>
      </c>
      <c r="K18" s="321">
        <f>+Earnings!G18</f>
        <v>3.05</v>
      </c>
      <c r="L18" s="68">
        <f t="shared" si="4"/>
        <v>10.511475409836066</v>
      </c>
      <c r="M18" s="53">
        <f t="shared" si="5"/>
        <v>9.5134123518402988E-2</v>
      </c>
      <c r="N18" s="11"/>
      <c r="O18" s="11"/>
    </row>
    <row r="19" spans="1:15" ht="17.25">
      <c r="A19" s="59" t="str">
        <f>+'S&amp;D'!A25</f>
        <v>Kinder Morgan Inc</v>
      </c>
      <c r="B19" s="59"/>
      <c r="C19" s="86" t="str">
        <f>+'S&amp;D'!B25</f>
        <v>KMI</v>
      </c>
      <c r="D19" s="56">
        <f>'S&amp;D'!G25</f>
        <v>27.49</v>
      </c>
      <c r="E19" s="321">
        <f>+Earnings!E19</f>
        <v>1.4</v>
      </c>
      <c r="F19" s="68">
        <f t="shared" si="0"/>
        <v>19.635714285714286</v>
      </c>
      <c r="G19" s="53">
        <f t="shared" si="1"/>
        <v>5.0927610040014552E-2</v>
      </c>
      <c r="H19" s="11"/>
      <c r="I19" s="32" t="str">
        <f t="shared" si="2"/>
        <v>KMI</v>
      </c>
      <c r="J19" s="56">
        <f t="shared" si="3"/>
        <v>27.49</v>
      </c>
      <c r="K19" s="321">
        <f>+Earnings!G19</f>
        <v>1.5</v>
      </c>
      <c r="L19" s="68">
        <f t="shared" si="4"/>
        <v>18.326666666666664</v>
      </c>
      <c r="M19" s="53">
        <f t="shared" si="5"/>
        <v>5.4565296471444168E-2</v>
      </c>
      <c r="N19" s="11"/>
      <c r="O19" s="11"/>
    </row>
    <row r="20" spans="1:15" ht="17.25">
      <c r="A20" s="59" t="str">
        <f>+'S&amp;D'!A26</f>
        <v>ONEOK Inc</v>
      </c>
      <c r="B20" s="59"/>
      <c r="C20" s="86" t="str">
        <f>+'S&amp;D'!B26</f>
        <v>OKE</v>
      </c>
      <c r="D20" s="56">
        <f>'S&amp;D'!G26</f>
        <v>73.5</v>
      </c>
      <c r="E20" s="321">
        <f>+Earnings!E20</f>
        <v>6.25</v>
      </c>
      <c r="F20" s="68">
        <f t="shared" ref="F20:F22" si="6">D20/E20</f>
        <v>11.76</v>
      </c>
      <c r="G20" s="53">
        <f t="shared" ref="G20:G22" si="7">1/F20</f>
        <v>8.5034013605442174E-2</v>
      </c>
      <c r="H20" s="11"/>
      <c r="I20" s="32" t="str">
        <f t="shared" ref="I20:I22" si="8">+C20</f>
        <v>OKE</v>
      </c>
      <c r="J20" s="56">
        <f t="shared" ref="J20:J22" si="9">+D20</f>
        <v>73.5</v>
      </c>
      <c r="K20" s="321">
        <f>+Earnings!G20</f>
        <v>7</v>
      </c>
      <c r="L20" s="68">
        <f t="shared" ref="L20:L22" si="10">J20/K20</f>
        <v>10.5</v>
      </c>
      <c r="M20" s="53">
        <f t="shared" ref="M20:M22" si="11">1/L20</f>
        <v>9.5238095238095233E-2</v>
      </c>
      <c r="N20" s="11"/>
      <c r="O20" s="11"/>
    </row>
    <row r="21" spans="1:15" ht="17.25">
      <c r="A21" s="59" t="str">
        <f>+'S&amp;D'!A27</f>
        <v>TC Energy Corp</v>
      </c>
      <c r="B21" s="59"/>
      <c r="C21" s="86" t="str">
        <f>+'S&amp;D'!B27</f>
        <v>TRP</v>
      </c>
      <c r="D21" s="56">
        <f>'S&amp;D'!G27</f>
        <v>55.01</v>
      </c>
      <c r="E21" s="321">
        <f>+Earnings!E21</f>
        <v>3.2</v>
      </c>
      <c r="F21" s="68">
        <f t="shared" si="6"/>
        <v>17.190624999999997</v>
      </c>
      <c r="G21" s="53">
        <f t="shared" si="7"/>
        <v>5.817124159243775E-2</v>
      </c>
      <c r="H21" s="11"/>
      <c r="I21" s="32" t="str">
        <f t="shared" si="8"/>
        <v>TRP</v>
      </c>
      <c r="J21" s="56">
        <f t="shared" si="9"/>
        <v>55.01</v>
      </c>
      <c r="K21" s="321">
        <f>+Earnings!G21</f>
        <v>3.75</v>
      </c>
      <c r="L21" s="68">
        <f t="shared" si="10"/>
        <v>14.669333333333332</v>
      </c>
      <c r="M21" s="53">
        <f t="shared" si="11"/>
        <v>6.8169423741137977E-2</v>
      </c>
      <c r="N21" s="11"/>
      <c r="O21" s="11"/>
    </row>
    <row r="22" spans="1:15" ht="17.25">
      <c r="A22" s="59" t="str">
        <f>+'S&amp;D'!A28</f>
        <v>Williams Companys Inc</v>
      </c>
      <c r="B22" s="59"/>
      <c r="C22" s="86" t="str">
        <f>+'S&amp;D'!B28</f>
        <v>WMB</v>
      </c>
      <c r="D22" s="56">
        <f>'S&amp;D'!G28</f>
        <v>60.11</v>
      </c>
      <c r="E22" s="321">
        <f>+Earnings!E22</f>
        <v>2.4</v>
      </c>
      <c r="F22" s="68">
        <f t="shared" si="6"/>
        <v>25.045833333333334</v>
      </c>
      <c r="G22" s="53">
        <f t="shared" si="7"/>
        <v>3.9926800865080686E-2</v>
      </c>
      <c r="H22" s="11"/>
      <c r="I22" s="32" t="str">
        <f t="shared" si="8"/>
        <v>WMB</v>
      </c>
      <c r="J22" s="56">
        <f t="shared" si="9"/>
        <v>60.11</v>
      </c>
      <c r="K22" s="321">
        <f>+Earnings!G22</f>
        <v>2.7</v>
      </c>
      <c r="L22" s="68">
        <f t="shared" si="10"/>
        <v>22.262962962962963</v>
      </c>
      <c r="M22" s="53">
        <f t="shared" si="11"/>
        <v>4.4917650973215768E-2</v>
      </c>
      <c r="N22" s="11"/>
      <c r="O22" s="11"/>
    </row>
    <row r="23" spans="1:15" ht="18" thickBot="1">
      <c r="A23" s="11"/>
      <c r="B23" s="11"/>
      <c r="C23" s="66"/>
      <c r="D23" s="66"/>
      <c r="E23" s="66"/>
      <c r="F23" s="66"/>
      <c r="G23" s="66"/>
      <c r="H23" s="11"/>
      <c r="I23" s="66"/>
      <c r="J23" s="61" t="s">
        <v>0</v>
      </c>
      <c r="K23" s="66"/>
      <c r="L23" s="66"/>
      <c r="M23" s="66"/>
      <c r="N23" s="11"/>
      <c r="O23" s="11"/>
    </row>
    <row r="24" spans="1:15" ht="17.25" thickTop="1">
      <c r="A24" s="11"/>
      <c r="B24" s="11"/>
      <c r="D24" s="13" t="s">
        <v>45</v>
      </c>
      <c r="E24" s="67">
        <f>MAX(E16:E22)</f>
        <v>6.25</v>
      </c>
      <c r="F24" s="67">
        <f>MAX(F16:F22)</f>
        <v>25.261538461538464</v>
      </c>
      <c r="G24" s="279">
        <f>MAX(G16:G22)</f>
        <v>8.7336244541484712E-2</v>
      </c>
      <c r="H24" s="11"/>
      <c r="J24" s="13" t="s">
        <v>45</v>
      </c>
      <c r="K24" s="67">
        <f>MAX(K16:K22)</f>
        <v>7</v>
      </c>
      <c r="L24" s="67">
        <f>MAX(L16:L22)</f>
        <v>24.325925925925926</v>
      </c>
      <c r="M24" s="279">
        <f>MAX(M16:M22)</f>
        <v>9.5238095238095233E-2</v>
      </c>
      <c r="N24" s="11"/>
      <c r="O24" s="11"/>
    </row>
    <row r="25" spans="1:15" ht="16.5">
      <c r="A25" s="11"/>
      <c r="B25" s="11"/>
      <c r="D25" s="303" t="s">
        <v>46</v>
      </c>
      <c r="E25" s="306">
        <f>+MIN(E16:E22)</f>
        <v>1.4</v>
      </c>
      <c r="F25" s="306">
        <f>+MIN(F16:F22)</f>
        <v>11.450000000000001</v>
      </c>
      <c r="G25" s="300">
        <f>+MIN(G16:G22)</f>
        <v>3.9585870889159561E-2</v>
      </c>
      <c r="H25" s="11"/>
      <c r="J25" s="303" t="s">
        <v>46</v>
      </c>
      <c r="K25" s="306">
        <f>+MIN(K16:K22)</f>
        <v>1.5</v>
      </c>
      <c r="L25" s="306">
        <f>+MIN(L16:L22)</f>
        <v>10.5</v>
      </c>
      <c r="M25" s="300">
        <f>+MIN(M16:M22)</f>
        <v>4.110840438489647E-2</v>
      </c>
      <c r="N25" s="11"/>
      <c r="O25" s="11"/>
    </row>
    <row r="26" spans="1:15" ht="16.5">
      <c r="A26" s="11"/>
      <c r="B26" s="11"/>
      <c r="D26" s="13" t="s">
        <v>18</v>
      </c>
      <c r="E26" s="68">
        <f>MEDIAN(E16:E22)</f>
        <v>2.6</v>
      </c>
      <c r="F26" s="20">
        <f>MEDIAN(F16:F22)</f>
        <v>17.190624999999997</v>
      </c>
      <c r="G26" s="53">
        <f>MEDIAN(G16:G22)</f>
        <v>5.817124159243775E-2</v>
      </c>
      <c r="H26" s="11"/>
      <c r="J26" s="13" t="s">
        <v>18</v>
      </c>
      <c r="K26" s="68">
        <f>MEDIAN(K16:K22)</f>
        <v>2.7</v>
      </c>
      <c r="L26" s="20">
        <f>MEDIAN(L16:L22)</f>
        <v>14.669333333333332</v>
      </c>
      <c r="M26" s="53">
        <f>MEDIAN(M16:M22)</f>
        <v>6.8169423741137977E-2</v>
      </c>
      <c r="N26" s="11"/>
      <c r="O26" s="11"/>
    </row>
    <row r="27" spans="1:15" ht="16.5">
      <c r="A27" s="11"/>
      <c r="B27" s="11"/>
      <c r="D27" s="13" t="s">
        <v>387</v>
      </c>
      <c r="E27" s="16">
        <f>AVERAGE(E16:E22)</f>
        <v>2.8642857142857139</v>
      </c>
      <c r="F27" s="20">
        <f>AVERAGE(F16:F22)</f>
        <v>17.446040358451075</v>
      </c>
      <c r="G27" s="69">
        <f>AVERAGE(G16:G22)</f>
        <v>6.3697388698686505E-2</v>
      </c>
      <c r="H27" s="11"/>
      <c r="J27" s="13" t="s">
        <v>387</v>
      </c>
      <c r="K27" s="16">
        <f>AVERAGE(K16:K22)</f>
        <v>3.1714285714285713</v>
      </c>
      <c r="L27" s="20">
        <f>AVERAGE(L16:L22)</f>
        <v>15.941385376008325</v>
      </c>
      <c r="M27" s="69">
        <f>AVERAGE(M16:M22)</f>
        <v>7.0013887866719277E-2</v>
      </c>
      <c r="N27" s="11"/>
      <c r="O27" s="11"/>
    </row>
    <row r="28" spans="1:15" ht="16.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spans="1:15" ht="26.25">
      <c r="A29" s="11"/>
      <c r="B29" s="11"/>
      <c r="C29" s="11"/>
      <c r="D29" s="11"/>
      <c r="E29" s="73" t="s">
        <v>73</v>
      </c>
      <c r="F29" s="283">
        <v>17.45</v>
      </c>
      <c r="G29" s="281">
        <v>6.3700000000000007E-2</v>
      </c>
      <c r="H29" s="11"/>
      <c r="I29" s="11"/>
      <c r="J29" s="11"/>
      <c r="K29" s="73" t="s">
        <v>73</v>
      </c>
      <c r="L29" s="284">
        <v>15.94</v>
      </c>
      <c r="M29" s="281">
        <v>7.0000000000000007E-2</v>
      </c>
      <c r="N29" s="11"/>
      <c r="O29" s="11"/>
    </row>
    <row r="30" spans="1:15" ht="16.5">
      <c r="A30" s="11"/>
      <c r="B30" s="11"/>
      <c r="C30" s="11"/>
      <c r="D30" s="11"/>
      <c r="E30" s="11"/>
      <c r="F30" s="11"/>
      <c r="K30" s="11"/>
      <c r="L30" s="11"/>
      <c r="M30" s="11"/>
      <c r="N30" s="11"/>
      <c r="O30" s="11"/>
    </row>
    <row r="31" spans="1:15" ht="30" customHeight="1">
      <c r="A31" s="11"/>
      <c r="B31" s="11"/>
      <c r="C31" s="11"/>
      <c r="D31" s="11"/>
      <c r="E31" s="11"/>
      <c r="F31" s="11"/>
      <c r="K31" s="11"/>
      <c r="L31" s="11"/>
      <c r="M31" s="11"/>
      <c r="N31" s="11"/>
      <c r="O31" s="11"/>
    </row>
    <row r="32" spans="1:15" ht="17.25" thickBot="1">
      <c r="A32" s="11"/>
      <c r="B32" s="11"/>
      <c r="C32" s="11"/>
      <c r="D32" s="11"/>
      <c r="E32" s="11"/>
      <c r="F32" s="11"/>
      <c r="K32" s="11"/>
      <c r="L32" s="11"/>
      <c r="M32" s="11"/>
      <c r="N32" s="11"/>
      <c r="O32" s="11"/>
    </row>
    <row r="33" spans="1:15" ht="30.75" customHeight="1" thickBot="1">
      <c r="A33" s="71" t="s">
        <v>0</v>
      </c>
      <c r="B33" s="71"/>
      <c r="C33" s="11"/>
      <c r="D33" s="11"/>
      <c r="E33" s="11"/>
      <c r="G33" s="22" t="s">
        <v>118</v>
      </c>
      <c r="H33" s="11"/>
      <c r="I33" s="194">
        <f>+(F29+L29)/2</f>
        <v>16.695</v>
      </c>
      <c r="J33" s="195">
        <f>+(G29+M29)/2</f>
        <v>6.6850000000000007E-2</v>
      </c>
      <c r="N33" s="11"/>
      <c r="O33" s="11"/>
    </row>
    <row r="34" spans="1:15" ht="16.5">
      <c r="A34" s="71" t="s">
        <v>0</v>
      </c>
      <c r="B34" s="7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spans="1:15" ht="16.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pans="1:15" ht="16.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pans="1:15" ht="15.75" thickBot="1">
      <c r="B37" s="137"/>
      <c r="C37" s="137"/>
      <c r="D37" s="137"/>
      <c r="E37" s="137"/>
      <c r="F37" s="137"/>
      <c r="G37" s="137"/>
    </row>
    <row r="38" spans="1:15" ht="26.25">
      <c r="C38" s="11"/>
      <c r="D38" s="11"/>
      <c r="E38" s="29" t="s">
        <v>459</v>
      </c>
      <c r="F38" s="11"/>
      <c r="G38" s="11"/>
    </row>
    <row r="39" spans="1:15" ht="21" thickBot="1">
      <c r="A39" s="28"/>
      <c r="B39" s="137"/>
      <c r="C39" s="27"/>
      <c r="D39" s="27"/>
      <c r="E39" s="30" t="s">
        <v>477</v>
      </c>
      <c r="F39" s="27"/>
      <c r="G39" s="27"/>
    </row>
    <row r="40" spans="1:15" ht="15.75" thickBot="1">
      <c r="A40" s="31" t="s">
        <v>0</v>
      </c>
      <c r="B40" s="137"/>
      <c r="C40" s="31" t="s">
        <v>0</v>
      </c>
      <c r="D40" s="31" t="s">
        <v>0</v>
      </c>
      <c r="E40" s="31" t="s">
        <v>0</v>
      </c>
      <c r="F40" s="31" t="s">
        <v>0</v>
      </c>
      <c r="G40" s="31" t="s">
        <v>0</v>
      </c>
    </row>
    <row r="41" spans="1:15" ht="16.5">
      <c r="A41" s="32" t="s">
        <v>0</v>
      </c>
      <c r="C41" s="32" t="s">
        <v>3</v>
      </c>
      <c r="D41" s="32" t="s">
        <v>325</v>
      </c>
      <c r="E41" s="32" t="s">
        <v>327</v>
      </c>
      <c r="F41" s="32" t="s">
        <v>110</v>
      </c>
      <c r="G41" s="32" t="s">
        <v>26</v>
      </c>
    </row>
    <row r="42" spans="1:15" ht="17.25" thickBot="1">
      <c r="A42" s="34" t="s">
        <v>2</v>
      </c>
      <c r="B42" s="137"/>
      <c r="C42" s="34" t="s">
        <v>4</v>
      </c>
      <c r="D42" s="34" t="s">
        <v>27</v>
      </c>
      <c r="E42" s="34" t="s">
        <v>158</v>
      </c>
      <c r="F42" s="34" t="s">
        <v>28</v>
      </c>
      <c r="G42" s="34" t="s">
        <v>29</v>
      </c>
    </row>
    <row r="43" spans="1:15">
      <c r="A43" s="36" t="s">
        <v>0</v>
      </c>
      <c r="C43" s="36" t="s">
        <v>0</v>
      </c>
      <c r="D43" s="37" t="s">
        <v>112</v>
      </c>
      <c r="E43" s="72" t="s">
        <v>229</v>
      </c>
      <c r="F43" s="36" t="s">
        <v>0</v>
      </c>
      <c r="G43" s="36" t="s">
        <v>0</v>
      </c>
    </row>
    <row r="44" spans="1:15" ht="16.5">
      <c r="A44" s="32"/>
      <c r="C44" s="32"/>
      <c r="D44" s="32"/>
      <c r="E44" s="32"/>
      <c r="F44" s="32"/>
      <c r="G44" s="32"/>
    </row>
    <row r="45" spans="1:15" ht="16.5">
      <c r="A45" s="11"/>
      <c r="C45" s="11"/>
      <c r="D45" s="11"/>
      <c r="E45" s="11"/>
      <c r="F45" s="11"/>
      <c r="G45" s="11"/>
    </row>
    <row r="46" spans="1:15" ht="17.25">
      <c r="A46" s="59" t="str">
        <f>+'S&amp;D'!A22</f>
        <v>Enbridge Inc</v>
      </c>
      <c r="C46" s="86" t="str">
        <f>+'S&amp;D'!B22</f>
        <v>ENB.TO</v>
      </c>
      <c r="D46" s="56">
        <f>'S&amp;D'!G22</f>
        <v>65.680000000000007</v>
      </c>
      <c r="E46" s="321">
        <f>+Earnings!I16</f>
        <v>3.5</v>
      </c>
      <c r="F46" s="68">
        <f t="shared" ref="F46:F52" si="12">D46/E46</f>
        <v>18.765714285714289</v>
      </c>
      <c r="G46" s="53">
        <f t="shared" ref="G46:G52" si="13">1/F46</f>
        <v>5.328867235079171E-2</v>
      </c>
    </row>
    <row r="47" spans="1:15" ht="17.25">
      <c r="A47" s="59" t="str">
        <f>+'S&amp;D'!A23</f>
        <v>Energy Transfer LP</v>
      </c>
      <c r="C47" s="86" t="str">
        <f>+'S&amp;D'!B23</f>
        <v>ET</v>
      </c>
      <c r="D47" s="56">
        <f>'S&amp;D'!G23</f>
        <v>16.489999999999998</v>
      </c>
      <c r="E47" s="321">
        <f>+Earnings!I17</f>
        <v>2</v>
      </c>
      <c r="F47" s="68">
        <f t="shared" si="12"/>
        <v>8.2449999999999992</v>
      </c>
      <c r="G47" s="53">
        <f t="shared" si="13"/>
        <v>0.12128562765312312</v>
      </c>
    </row>
    <row r="48" spans="1:15" ht="17.25">
      <c r="A48" s="59" t="str">
        <f>+'S&amp;D'!A24</f>
        <v>Enterprise Products Partnership LP</v>
      </c>
      <c r="C48" s="86" t="str">
        <f>+'S&amp;D'!B24</f>
        <v>EPD</v>
      </c>
      <c r="D48" s="56">
        <f>'S&amp;D'!G24</f>
        <v>32.06</v>
      </c>
      <c r="E48" s="321">
        <f>+Earnings!I18</f>
        <v>3.8</v>
      </c>
      <c r="F48" s="68">
        <f t="shared" si="12"/>
        <v>8.4368421052631586</v>
      </c>
      <c r="G48" s="53">
        <f t="shared" si="13"/>
        <v>0.11852776044915782</v>
      </c>
    </row>
    <row r="49" spans="1:7" ht="17.25">
      <c r="A49" s="59" t="str">
        <f>+'S&amp;D'!A25</f>
        <v>Kinder Morgan Inc</v>
      </c>
      <c r="C49" s="86" t="str">
        <f>+'S&amp;D'!B25</f>
        <v>KMI</v>
      </c>
      <c r="D49" s="56">
        <f>'S&amp;D'!G25</f>
        <v>27.49</v>
      </c>
      <c r="E49" s="321">
        <f>+Earnings!I19</f>
        <v>1.9</v>
      </c>
      <c r="F49" s="68">
        <f t="shared" si="12"/>
        <v>14.468421052631578</v>
      </c>
      <c r="G49" s="53">
        <f t="shared" si="13"/>
        <v>6.9116042197162608E-2</v>
      </c>
    </row>
    <row r="50" spans="1:7" ht="17.25">
      <c r="A50" s="59" t="str">
        <f>+'S&amp;D'!A26</f>
        <v>ONEOK Inc</v>
      </c>
      <c r="C50" s="86" t="str">
        <f>+'S&amp;D'!B26</f>
        <v>OKE</v>
      </c>
      <c r="D50" s="56">
        <f>'S&amp;D'!G26</f>
        <v>73.5</v>
      </c>
      <c r="E50" s="321">
        <f>+Earnings!I20</f>
        <v>10</v>
      </c>
      <c r="F50" s="68">
        <f t="shared" si="12"/>
        <v>7.35</v>
      </c>
      <c r="G50" s="53">
        <f t="shared" si="13"/>
        <v>0.1360544217687075</v>
      </c>
    </row>
    <row r="51" spans="1:7" ht="17.25">
      <c r="A51" s="59" t="str">
        <f>+'S&amp;D'!A27</f>
        <v>TC Energy Corp</v>
      </c>
      <c r="C51" s="86" t="str">
        <f>+'S&amp;D'!B27</f>
        <v>TRP</v>
      </c>
      <c r="D51" s="56">
        <f>'S&amp;D'!G27</f>
        <v>55.01</v>
      </c>
      <c r="E51" s="321">
        <f>+Earnings!I21</f>
        <v>5.25</v>
      </c>
      <c r="F51" s="68">
        <f t="shared" si="12"/>
        <v>10.478095238095237</v>
      </c>
      <c r="G51" s="53">
        <f t="shared" si="13"/>
        <v>9.5437193237593171E-2</v>
      </c>
    </row>
    <row r="52" spans="1:7" ht="17.25">
      <c r="A52" s="59" t="str">
        <f>+'S&amp;D'!A28</f>
        <v>Williams Companys Inc</v>
      </c>
      <c r="C52" s="86" t="str">
        <f>+'S&amp;D'!B28</f>
        <v>WMB</v>
      </c>
      <c r="D52" s="56">
        <f>'S&amp;D'!G28</f>
        <v>60.11</v>
      </c>
      <c r="E52" s="321">
        <f>+Earnings!I22</f>
        <v>3.4</v>
      </c>
      <c r="F52" s="68">
        <f t="shared" si="12"/>
        <v>17.679411764705883</v>
      </c>
      <c r="G52" s="53">
        <f t="shared" si="13"/>
        <v>5.6562967892197634E-2</v>
      </c>
    </row>
    <row r="53" spans="1:7" ht="17.25" thickBot="1">
      <c r="A53" s="11"/>
      <c r="D53" s="66"/>
      <c r="E53" s="66"/>
      <c r="F53" s="66"/>
      <c r="G53" s="66"/>
    </row>
    <row r="54" spans="1:7" ht="17.25" thickTop="1">
      <c r="A54" s="11"/>
      <c r="D54" s="13" t="s">
        <v>45</v>
      </c>
      <c r="E54" s="67">
        <f>MAX(E46:E52)</f>
        <v>10</v>
      </c>
      <c r="F54" s="67">
        <f>MAX(F46:F52)</f>
        <v>18.765714285714289</v>
      </c>
      <c r="G54" s="279">
        <f>MAX(G46:G52)</f>
        <v>0.1360544217687075</v>
      </c>
    </row>
    <row r="55" spans="1:7" ht="16.5">
      <c r="A55" s="11"/>
      <c r="D55" s="13" t="s">
        <v>46</v>
      </c>
      <c r="E55" s="306">
        <f t="shared" ref="E55:G55" si="14">+MIN(E46:E52)</f>
        <v>1.9</v>
      </c>
      <c r="F55" s="306">
        <f t="shared" si="14"/>
        <v>7.35</v>
      </c>
      <c r="G55" s="300">
        <f t="shared" si="14"/>
        <v>5.328867235079171E-2</v>
      </c>
    </row>
    <row r="56" spans="1:7" ht="16.5">
      <c r="A56" s="11"/>
      <c r="D56" s="13" t="s">
        <v>18</v>
      </c>
      <c r="E56" s="68">
        <f>MEDIAN(E46:E52)</f>
        <v>3.5</v>
      </c>
      <c r="F56" s="20">
        <f>MEDIAN(F46:F52)</f>
        <v>10.478095238095237</v>
      </c>
      <c r="G56" s="53">
        <f>MEDIAN(G46:G52)</f>
        <v>9.5437193237593171E-2</v>
      </c>
    </row>
    <row r="57" spans="1:7" ht="16.5">
      <c r="A57" s="11"/>
      <c r="D57" s="13" t="s">
        <v>387</v>
      </c>
      <c r="E57" s="16">
        <f>AVERAGE(E46:E52)</f>
        <v>4.2642857142857142</v>
      </c>
      <c r="F57" s="20">
        <f>AVERAGE(F46:F52)</f>
        <v>12.203354920915737</v>
      </c>
      <c r="G57" s="69">
        <f>AVERAGE(G46:G52)</f>
        <v>9.2896097935533356E-2</v>
      </c>
    </row>
    <row r="58" spans="1:7" ht="16.5">
      <c r="A58" s="11"/>
      <c r="C58" s="11"/>
      <c r="D58" s="11"/>
      <c r="E58" s="11"/>
      <c r="F58" s="11"/>
      <c r="G58" s="11"/>
    </row>
    <row r="59" spans="1:7" ht="26.25">
      <c r="A59" s="11"/>
      <c r="C59" s="11"/>
      <c r="D59" s="11"/>
      <c r="E59" s="73" t="s">
        <v>73</v>
      </c>
      <c r="F59" s="284">
        <v>12.2</v>
      </c>
      <c r="G59" s="281">
        <v>9.2899999999999996E-2</v>
      </c>
    </row>
  </sheetData>
  <pageMargins left="0.25" right="0.25" top="0.75" bottom="0.75" header="0.3" footer="0.3"/>
  <pageSetup scale="3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9F6FC-3131-4033-9513-A4F95DEDCBD0}">
  <sheetPr>
    <tabColor rgb="FF92D050"/>
    <pageSetUpPr fitToPage="1"/>
  </sheetPr>
  <dimension ref="A1:J85"/>
  <sheetViews>
    <sheetView view="pageBreakPreview" zoomScale="60" zoomScaleNormal="80" workbookViewId="0">
      <selection activeCell="A76" sqref="A76"/>
    </sheetView>
  </sheetViews>
  <sheetFormatPr defaultRowHeight="15"/>
  <cols>
    <col min="1" max="1" width="74.5703125" customWidth="1"/>
    <col min="2" max="2" width="21.7109375" customWidth="1"/>
    <col min="3" max="3" width="24.5703125" customWidth="1"/>
    <col min="4" max="4" width="29.42578125" customWidth="1"/>
    <col min="5" max="5" width="30.5703125" customWidth="1"/>
    <col min="6" max="6" width="32.140625" customWidth="1"/>
    <col min="7" max="7" width="27" customWidth="1"/>
    <col min="8" max="8" width="13.7109375" customWidth="1"/>
    <col min="9" max="9" width="13.85546875" customWidth="1"/>
    <col min="10" max="11" width="14.140625" bestFit="1" customWidth="1"/>
  </cols>
  <sheetData>
    <row r="1" spans="1:10" ht="26.25">
      <c r="A1" s="22" t="s">
        <v>1</v>
      </c>
      <c r="B1" s="22"/>
      <c r="C1" s="22"/>
      <c r="D1" s="11"/>
      <c r="E1" s="11"/>
      <c r="F1" s="11"/>
      <c r="G1" s="11"/>
      <c r="H1" s="11"/>
      <c r="I1" s="11"/>
      <c r="J1" s="11"/>
    </row>
    <row r="2" spans="1:10" ht="17.25">
      <c r="A2" s="23" t="s">
        <v>9</v>
      </c>
      <c r="B2" s="23"/>
      <c r="C2" s="23"/>
      <c r="D2" s="11"/>
      <c r="E2" s="11"/>
      <c r="F2" s="11"/>
      <c r="G2" s="11"/>
      <c r="H2" s="11"/>
      <c r="I2" s="11"/>
      <c r="J2" s="11"/>
    </row>
    <row r="3" spans="1:10" ht="16.5">
      <c r="A3" s="24" t="s">
        <v>465</v>
      </c>
      <c r="B3" s="24"/>
      <c r="C3" s="24"/>
      <c r="D3" s="11"/>
      <c r="E3" s="11"/>
      <c r="F3" s="11"/>
      <c r="G3" s="11"/>
      <c r="H3" s="11"/>
      <c r="I3" s="11"/>
      <c r="J3" s="11"/>
    </row>
    <row r="4" spans="1:10" ht="16.5">
      <c r="A4" s="24"/>
      <c r="B4" s="24"/>
      <c r="C4" s="24"/>
      <c r="D4" s="11"/>
      <c r="E4" s="11"/>
      <c r="F4" s="11"/>
      <c r="G4" s="11"/>
      <c r="H4" s="11"/>
      <c r="I4" s="11"/>
      <c r="J4" s="11"/>
    </row>
    <row r="5" spans="1:10" ht="17.25" thickBot="1">
      <c r="A5" s="11"/>
      <c r="B5" s="11"/>
      <c r="C5" s="11"/>
      <c r="D5" s="11"/>
      <c r="E5" s="11"/>
      <c r="F5" s="11"/>
      <c r="G5" s="11"/>
      <c r="H5" s="488" t="s">
        <v>0</v>
      </c>
      <c r="I5" s="25"/>
      <c r="J5" s="11"/>
    </row>
    <row r="6" spans="1:10" ht="21" thickBot="1">
      <c r="A6" s="26" t="str">
        <f>+'S&amp;D'!A12</f>
        <v>Natural Gas Transmission Pipeline Carrier</v>
      </c>
      <c r="B6" s="11"/>
      <c r="C6" s="11"/>
      <c r="D6" s="27"/>
      <c r="E6" s="27"/>
      <c r="F6" s="27"/>
      <c r="G6" s="11"/>
      <c r="H6" s="11"/>
      <c r="I6" s="11"/>
      <c r="J6" s="11"/>
    </row>
    <row r="7" spans="1:10" ht="26.25">
      <c r="B7" s="28"/>
      <c r="C7" s="28"/>
      <c r="D7" s="11"/>
      <c r="E7" s="29" t="s">
        <v>200</v>
      </c>
      <c r="F7" s="11"/>
      <c r="G7" s="11"/>
      <c r="H7" s="11"/>
      <c r="I7" s="11"/>
      <c r="J7" s="11"/>
    </row>
    <row r="8" spans="1:10" ht="21" thickBot="1">
      <c r="A8" s="28"/>
      <c r="B8" s="28"/>
      <c r="C8" s="28"/>
      <c r="D8" s="27"/>
      <c r="E8" s="30" t="s">
        <v>477</v>
      </c>
      <c r="F8" s="27"/>
      <c r="G8" s="11"/>
      <c r="H8" s="11"/>
      <c r="I8" s="11"/>
      <c r="J8" s="11"/>
    </row>
    <row r="9" spans="1:10" ht="20.25">
      <c r="A9" s="28"/>
      <c r="B9" s="28"/>
      <c r="C9" s="28"/>
      <c r="D9" s="11"/>
      <c r="E9" s="32"/>
      <c r="F9" s="11"/>
      <c r="G9" s="11"/>
      <c r="H9" s="11"/>
      <c r="I9" s="11"/>
      <c r="J9" s="11"/>
    </row>
    <row r="10" spans="1:10" ht="20.25">
      <c r="A10" s="28"/>
      <c r="B10" s="28"/>
      <c r="H10" s="11"/>
      <c r="I10" s="11"/>
      <c r="J10" s="11"/>
    </row>
    <row r="11" spans="1:10" ht="20.25">
      <c r="A11" s="28"/>
      <c r="B11" s="28"/>
      <c r="H11" s="11"/>
      <c r="I11" s="11"/>
      <c r="J11" s="11"/>
    </row>
    <row r="12" spans="1:10" ht="30" customHeight="1" thickBot="1">
      <c r="A12" s="28"/>
      <c r="B12" s="28"/>
      <c r="C12" t="s">
        <v>0</v>
      </c>
      <c r="H12" s="11"/>
      <c r="I12" s="11"/>
      <c r="J12" s="11"/>
    </row>
    <row r="13" spans="1:10" ht="26.25" customHeight="1" thickBot="1">
      <c r="A13" s="146" t="s">
        <v>215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</row>
    <row r="14" spans="1:10" ht="42" customHeight="1" thickBot="1">
      <c r="A14" s="145" t="s">
        <v>213</v>
      </c>
      <c r="B14" s="144" t="s">
        <v>204</v>
      </c>
      <c r="C14" s="143" t="s">
        <v>216</v>
      </c>
      <c r="D14" s="144" t="s">
        <v>206</v>
      </c>
      <c r="E14" s="144" t="s">
        <v>382</v>
      </c>
      <c r="F14" s="142" t="s">
        <v>205</v>
      </c>
      <c r="G14" s="11"/>
      <c r="H14" s="11"/>
      <c r="I14" s="11"/>
      <c r="J14" s="11"/>
    </row>
    <row r="15" spans="1:10" ht="16.5">
      <c r="A15" s="139"/>
      <c r="B15" s="106"/>
      <c r="C15" s="106"/>
      <c r="D15" s="106"/>
      <c r="E15" s="106"/>
      <c r="F15" s="140"/>
      <c r="G15" s="11"/>
      <c r="H15" s="11"/>
      <c r="I15" s="11"/>
      <c r="J15" s="11"/>
    </row>
    <row r="16" spans="1:10" ht="17.25">
      <c r="A16" s="171" t="s">
        <v>453</v>
      </c>
      <c r="B16" s="184">
        <v>2.9399999999999999E-2</v>
      </c>
      <c r="C16" s="181">
        <f>+'Beta for CAPM'!I30</f>
        <v>0.96</v>
      </c>
      <c r="D16" s="172">
        <f>+B16*C16</f>
        <v>2.8223999999999999E-2</v>
      </c>
      <c r="E16" s="172">
        <f>+'Growth &amp; Inflation Rates'!$G$24</f>
        <v>4.8099999999999997E-2</v>
      </c>
      <c r="F16" s="173">
        <f>+D16+E16</f>
        <v>7.6324000000000003E-2</v>
      </c>
      <c r="G16" s="11"/>
      <c r="H16" s="11"/>
      <c r="I16" s="11"/>
      <c r="J16" s="11"/>
    </row>
    <row r="17" spans="1:10" ht="17.25">
      <c r="A17" s="171" t="s">
        <v>454</v>
      </c>
      <c r="B17" s="184">
        <v>2.98E-2</v>
      </c>
      <c r="C17" s="181">
        <f>+C16</f>
        <v>0.96</v>
      </c>
      <c r="D17" s="172">
        <f>+B17*C17</f>
        <v>2.8607999999999998E-2</v>
      </c>
      <c r="E17" s="172">
        <f>+'Growth &amp; Inflation Rates'!$G$24</f>
        <v>4.8099999999999997E-2</v>
      </c>
      <c r="F17" s="173">
        <f>+D17+E17</f>
        <v>7.6707999999999998E-2</v>
      </c>
      <c r="G17" s="11"/>
      <c r="H17" s="11"/>
      <c r="I17" s="11"/>
      <c r="J17" s="11"/>
    </row>
    <row r="18" spans="1:10" ht="17.25">
      <c r="A18" s="174"/>
      <c r="B18" s="102"/>
      <c r="C18" s="102"/>
      <c r="D18" s="102"/>
      <c r="E18" s="172"/>
      <c r="F18" s="175"/>
      <c r="G18" s="11"/>
      <c r="H18" s="11"/>
      <c r="I18" s="11"/>
      <c r="J18" s="11"/>
    </row>
    <row r="19" spans="1:10" ht="17.25">
      <c r="A19" s="171" t="s">
        <v>394</v>
      </c>
      <c r="B19" s="184">
        <v>4.2299999999999997E-2</v>
      </c>
      <c r="C19" s="181">
        <f>+C16</f>
        <v>0.96</v>
      </c>
      <c r="D19" s="172">
        <f>+B19*C19</f>
        <v>4.0607999999999998E-2</v>
      </c>
      <c r="E19" s="172">
        <f>+'Growth &amp; Inflation Rates'!$G$24</f>
        <v>4.8099999999999997E-2</v>
      </c>
      <c r="F19" s="173">
        <f>+D19+E19</f>
        <v>8.8707999999999995E-2</v>
      </c>
      <c r="G19" s="11"/>
      <c r="H19" s="11"/>
      <c r="I19" s="11"/>
      <c r="J19" s="11"/>
    </row>
    <row r="20" spans="1:10" ht="17.25">
      <c r="A20" s="171" t="s">
        <v>412</v>
      </c>
      <c r="B20" s="184">
        <v>6.1800000000000001E-2</v>
      </c>
      <c r="C20" s="181">
        <f>+C16</f>
        <v>0.96</v>
      </c>
      <c r="D20" s="172">
        <f>+B20*C20</f>
        <v>5.9327999999999999E-2</v>
      </c>
      <c r="E20" s="172">
        <f>+'Growth &amp; Inflation Rates'!$G$24</f>
        <v>4.8099999999999997E-2</v>
      </c>
      <c r="F20" s="173">
        <f>+D20+E20</f>
        <v>0.107428</v>
      </c>
      <c r="G20" s="11"/>
      <c r="H20" s="11"/>
      <c r="I20" s="11"/>
      <c r="J20" s="11"/>
    </row>
    <row r="21" spans="1:10" ht="17.25">
      <c r="A21" s="171" t="s">
        <v>395</v>
      </c>
      <c r="B21" s="184">
        <v>3.9600000000000003E-2</v>
      </c>
      <c r="C21" s="181">
        <f>+C16</f>
        <v>0.96</v>
      </c>
      <c r="D21" s="172">
        <f>+B21*C21</f>
        <v>3.8016000000000001E-2</v>
      </c>
      <c r="E21" s="172">
        <f>+'Growth &amp; Inflation Rates'!$G$24</f>
        <v>4.8099999999999997E-2</v>
      </c>
      <c r="F21" s="173">
        <f>+D21+E21</f>
        <v>8.6115999999999998E-2</v>
      </c>
      <c r="G21" s="11"/>
      <c r="H21" s="11"/>
      <c r="I21" s="11"/>
      <c r="J21" s="11"/>
    </row>
    <row r="22" spans="1:10" ht="17.25">
      <c r="A22" s="171" t="s">
        <v>396</v>
      </c>
      <c r="B22" s="184">
        <v>3.6200000000000003E-2</v>
      </c>
      <c r="C22" s="181">
        <f>+C16</f>
        <v>0.96</v>
      </c>
      <c r="D22" s="172">
        <f>+B22*C22</f>
        <v>3.4751999999999998E-2</v>
      </c>
      <c r="E22" s="172">
        <f>+'Growth &amp; Inflation Rates'!$G$24</f>
        <v>4.8099999999999997E-2</v>
      </c>
      <c r="F22" s="173">
        <f>+D22+E22</f>
        <v>8.2851999999999995E-2</v>
      </c>
      <c r="G22" s="11"/>
      <c r="H22" s="11"/>
      <c r="I22" s="11"/>
      <c r="J22" s="11"/>
    </row>
    <row r="23" spans="1:10" ht="17.25">
      <c r="A23" s="171" t="s">
        <v>0</v>
      </c>
      <c r="B23" s="184"/>
      <c r="C23" s="182" t="s">
        <v>0</v>
      </c>
      <c r="D23" s="172" t="s">
        <v>0</v>
      </c>
      <c r="E23" s="172"/>
      <c r="F23" s="173" t="s">
        <v>0</v>
      </c>
      <c r="G23" s="11"/>
      <c r="H23" s="11"/>
      <c r="I23" s="11"/>
      <c r="J23" s="11"/>
    </row>
    <row r="24" spans="1:10" ht="17.25">
      <c r="A24" s="171" t="s">
        <v>209</v>
      </c>
      <c r="B24" s="184">
        <v>5.6099999999999997E-2</v>
      </c>
      <c r="C24" s="181">
        <f>+C16</f>
        <v>0.96</v>
      </c>
      <c r="D24" s="172">
        <f>+B24*C24</f>
        <v>5.3855999999999994E-2</v>
      </c>
      <c r="E24" s="172">
        <f>+'Growth &amp; Inflation Rates'!$G$24</f>
        <v>4.8099999999999997E-2</v>
      </c>
      <c r="F24" s="173">
        <f>+D24+E24</f>
        <v>0.10195599999999999</v>
      </c>
      <c r="G24" s="11"/>
      <c r="H24" s="11"/>
      <c r="I24" s="11"/>
      <c r="J24" s="11"/>
    </row>
    <row r="25" spans="1:10" ht="17.25">
      <c r="A25" s="171" t="s">
        <v>0</v>
      </c>
      <c r="B25" s="184"/>
      <c r="C25" s="182" t="s">
        <v>0</v>
      </c>
      <c r="D25" s="172" t="s">
        <v>0</v>
      </c>
      <c r="E25" s="172"/>
      <c r="F25" s="173" t="s">
        <v>0</v>
      </c>
      <c r="G25" s="11"/>
      <c r="H25" s="11"/>
      <c r="I25" s="11"/>
      <c r="J25" s="11"/>
    </row>
    <row r="26" spans="1:10" ht="17.25">
      <c r="A26" s="171" t="s">
        <v>413</v>
      </c>
      <c r="B26" s="184">
        <v>5.5E-2</v>
      </c>
      <c r="C26" s="181">
        <f>+C16</f>
        <v>0.96</v>
      </c>
      <c r="D26" s="172">
        <f>+B26*C26</f>
        <v>5.28E-2</v>
      </c>
      <c r="E26" s="172">
        <f>+'Growth &amp; Inflation Rates'!$G$24</f>
        <v>4.8099999999999997E-2</v>
      </c>
      <c r="F26" s="173">
        <f>+D26+E26</f>
        <v>0.10089999999999999</v>
      </c>
      <c r="G26" s="11"/>
      <c r="H26" s="11"/>
      <c r="I26" s="11"/>
      <c r="J26" s="11"/>
    </row>
    <row r="27" spans="1:10" ht="17.25">
      <c r="A27" s="171" t="s">
        <v>0</v>
      </c>
      <c r="B27" s="184"/>
      <c r="C27" s="182" t="s">
        <v>0</v>
      </c>
      <c r="D27" s="172" t="s">
        <v>0</v>
      </c>
      <c r="E27" s="172"/>
      <c r="F27" s="173" t="s">
        <v>0</v>
      </c>
      <c r="G27" s="11"/>
      <c r="H27" s="11"/>
      <c r="I27" s="11"/>
      <c r="J27" s="11"/>
    </row>
    <row r="28" spans="1:10" ht="17.25">
      <c r="A28" s="171" t="s">
        <v>210</v>
      </c>
      <c r="B28" s="184">
        <v>6.7799999999999999E-2</v>
      </c>
      <c r="C28" s="181">
        <f>+C16</f>
        <v>0.96</v>
      </c>
      <c r="D28" s="172">
        <f>+B28*C28</f>
        <v>6.5087999999999993E-2</v>
      </c>
      <c r="E28" s="172">
        <f>+'Growth &amp; Inflation Rates'!$G$24</f>
        <v>4.8099999999999997E-2</v>
      </c>
      <c r="F28" s="173">
        <f>+D28+E28</f>
        <v>0.11318799999999998</v>
      </c>
      <c r="G28" s="11"/>
      <c r="H28" s="11"/>
      <c r="I28" s="11"/>
      <c r="J28" s="11"/>
    </row>
    <row r="29" spans="1:10" ht="17.25">
      <c r="A29" s="171" t="s">
        <v>211</v>
      </c>
      <c r="B29" s="184">
        <v>5.5399999999999998E-2</v>
      </c>
      <c r="C29" s="181">
        <f>+C16</f>
        <v>0.96</v>
      </c>
      <c r="D29" s="172">
        <f>+B29*C29</f>
        <v>5.3183999999999995E-2</v>
      </c>
      <c r="E29" s="172">
        <f>+'Growth &amp; Inflation Rates'!$G$24</f>
        <v>4.8099999999999997E-2</v>
      </c>
      <c r="F29" s="173">
        <f>+D29+E29</f>
        <v>0.10128399999999999</v>
      </c>
      <c r="G29" s="11"/>
      <c r="H29" s="11"/>
      <c r="I29" s="11"/>
      <c r="J29" s="11"/>
    </row>
    <row r="30" spans="1:10" ht="17.25">
      <c r="A30" s="171"/>
      <c r="B30" s="184"/>
      <c r="C30" s="181"/>
      <c r="D30" s="172"/>
      <c r="E30" s="172"/>
      <c r="F30" s="173"/>
      <c r="G30" s="11"/>
      <c r="H30" s="11"/>
      <c r="I30" s="11"/>
      <c r="J30" s="11"/>
    </row>
    <row r="31" spans="1:10" ht="17.25">
      <c r="A31" s="171" t="s">
        <v>397</v>
      </c>
      <c r="B31" s="184">
        <v>7.3700000000000002E-2</v>
      </c>
      <c r="C31" s="181">
        <f>+C16</f>
        <v>0.96</v>
      </c>
      <c r="D31" s="172">
        <f>+B31*C31</f>
        <v>7.0751999999999995E-2</v>
      </c>
      <c r="E31" s="172">
        <f>+'Growth &amp; Inflation Rates'!$G$24</f>
        <v>4.8099999999999997E-2</v>
      </c>
      <c r="F31" s="173">
        <f>+D31+E31</f>
        <v>0.11885199999999999</v>
      </c>
      <c r="G31" s="11"/>
      <c r="H31" s="11"/>
      <c r="I31" s="11"/>
      <c r="J31" s="11"/>
    </row>
    <row r="32" spans="1:10" ht="17.25">
      <c r="A32" s="171" t="s">
        <v>398</v>
      </c>
      <c r="B32" s="184">
        <v>6.3100000000000003E-2</v>
      </c>
      <c r="C32" s="181">
        <f>+C17</f>
        <v>0.96</v>
      </c>
      <c r="D32" s="172">
        <f>+B32*C32</f>
        <v>6.0575999999999998E-2</v>
      </c>
      <c r="E32" s="172">
        <f>+'Growth &amp; Inflation Rates'!$G$24</f>
        <v>4.8099999999999997E-2</v>
      </c>
      <c r="F32" s="173">
        <f>+D32+E32</f>
        <v>0.10867599999999999</v>
      </c>
      <c r="G32" s="11"/>
      <c r="H32" s="11"/>
      <c r="I32" s="11"/>
      <c r="J32" s="11"/>
    </row>
    <row r="33" spans="1:10" ht="17.25">
      <c r="A33" s="171" t="s">
        <v>399</v>
      </c>
      <c r="B33" s="184">
        <v>0.05</v>
      </c>
      <c r="C33" s="181">
        <f>+C16</f>
        <v>0.96</v>
      </c>
      <c r="D33" s="172">
        <f>+B33*C33</f>
        <v>4.8000000000000001E-2</v>
      </c>
      <c r="E33" s="172">
        <f>+'Growth &amp; Inflation Rates'!$G$24</f>
        <v>4.8099999999999997E-2</v>
      </c>
      <c r="F33" s="173">
        <f>+D33+E33</f>
        <v>9.6099999999999991E-2</v>
      </c>
      <c r="G33" s="11"/>
      <c r="H33" s="11"/>
      <c r="I33" s="11"/>
      <c r="J33" s="11"/>
    </row>
    <row r="34" spans="1:10" ht="17.25">
      <c r="A34" s="171"/>
      <c r="B34" s="184"/>
      <c r="C34" s="181"/>
      <c r="D34" s="172"/>
      <c r="E34" s="172"/>
      <c r="F34" s="173"/>
      <c r="G34" s="11"/>
      <c r="H34" s="11"/>
      <c r="I34" s="11"/>
      <c r="J34" s="11"/>
    </row>
    <row r="35" spans="1:10" ht="17.25">
      <c r="A35" s="360" t="s">
        <v>0</v>
      </c>
      <c r="B35" s="361" t="s">
        <v>0</v>
      </c>
      <c r="C35" s="181" t="s">
        <v>0</v>
      </c>
      <c r="D35" s="172" t="s">
        <v>0</v>
      </c>
      <c r="E35" s="172" t="s">
        <v>0</v>
      </c>
      <c r="F35" s="173" t="s">
        <v>0</v>
      </c>
      <c r="G35" s="11"/>
      <c r="H35" s="11"/>
      <c r="I35" s="11"/>
      <c r="J35" s="11"/>
    </row>
    <row r="36" spans="1:10" ht="17.25" thickBot="1">
      <c r="A36" s="340"/>
      <c r="B36" s="27"/>
      <c r="C36" s="27"/>
      <c r="D36" s="27"/>
      <c r="E36" s="27"/>
      <c r="F36" s="341"/>
      <c r="G36" s="11"/>
      <c r="H36" s="11"/>
      <c r="I36" s="11"/>
      <c r="J36" s="11"/>
    </row>
    <row r="37" spans="1:10" ht="16.5">
      <c r="A37" s="11"/>
      <c r="B37" s="11"/>
      <c r="C37" s="11"/>
      <c r="D37" s="11"/>
      <c r="E37" s="11"/>
      <c r="F37" s="11"/>
      <c r="G37" s="11"/>
      <c r="H37" s="11"/>
      <c r="I37" s="11"/>
      <c r="J37" s="11"/>
    </row>
    <row r="38" spans="1:10" ht="27" customHeight="1" thickBot="1">
      <c r="A38" s="11"/>
      <c r="B38" s="11"/>
      <c r="C38" s="11"/>
      <c r="D38" s="11"/>
      <c r="E38" s="11"/>
      <c r="F38" s="11"/>
      <c r="G38" s="11" t="s">
        <v>0</v>
      </c>
      <c r="H38" s="11"/>
      <c r="I38" s="11"/>
      <c r="J38" s="11"/>
    </row>
    <row r="39" spans="1:10" ht="18" thickBot="1">
      <c r="A39" s="146" t="s">
        <v>214</v>
      </c>
      <c r="B39" s="11"/>
      <c r="C39" s="11"/>
      <c r="D39" s="11"/>
      <c r="E39" s="11"/>
      <c r="F39" s="11"/>
      <c r="G39" s="11"/>
      <c r="H39" s="11"/>
      <c r="I39" s="11"/>
      <c r="J39" s="11"/>
    </row>
    <row r="40" spans="1:10" ht="41.25" thickBot="1">
      <c r="A40" s="145" t="s">
        <v>212</v>
      </c>
      <c r="B40" s="144" t="s">
        <v>204</v>
      </c>
      <c r="C40" s="143" t="s">
        <v>216</v>
      </c>
      <c r="D40" s="144" t="s">
        <v>207</v>
      </c>
      <c r="E40" s="144" t="s">
        <v>208</v>
      </c>
      <c r="F40" s="144" t="s">
        <v>382</v>
      </c>
      <c r="G40" s="142" t="s">
        <v>205</v>
      </c>
      <c r="H40" s="11"/>
      <c r="I40" s="11"/>
      <c r="J40" s="11"/>
    </row>
    <row r="41" spans="1:10" ht="16.5">
      <c r="A41" s="139"/>
      <c r="B41" s="106"/>
      <c r="C41" s="106"/>
      <c r="D41" s="106"/>
      <c r="E41" s="106"/>
      <c r="F41" s="106"/>
      <c r="G41" s="140"/>
      <c r="H41" s="11"/>
      <c r="I41" s="11"/>
      <c r="J41" s="11"/>
    </row>
    <row r="42" spans="1:10" ht="17.25">
      <c r="A42" s="171" t="s">
        <v>453</v>
      </c>
      <c r="B42" s="184">
        <f>+B16</f>
        <v>2.9399999999999999E-2</v>
      </c>
      <c r="C42" s="180">
        <f>+C16</f>
        <v>0.96</v>
      </c>
      <c r="D42" s="172">
        <f>+B42*C42*0.75</f>
        <v>2.1167999999999999E-2</v>
      </c>
      <c r="E42" s="184">
        <f>+B42*0.25</f>
        <v>7.3499999999999998E-3</v>
      </c>
      <c r="F42" s="172">
        <f>+'Growth &amp; Inflation Rates'!$G$24</f>
        <v>4.8099999999999997E-2</v>
      </c>
      <c r="G42" s="173">
        <f>+D42+E42+F42</f>
        <v>7.6617999999999992E-2</v>
      </c>
      <c r="H42" s="11"/>
      <c r="I42" s="11"/>
      <c r="J42" s="11"/>
    </row>
    <row r="43" spans="1:10" ht="17.25">
      <c r="A43" s="171" t="s">
        <v>454</v>
      </c>
      <c r="B43" s="184">
        <f>+B17</f>
        <v>2.98E-2</v>
      </c>
      <c r="C43" s="180">
        <f>+C17</f>
        <v>0.96</v>
      </c>
      <c r="D43" s="172">
        <f>+B43*C43*0.75</f>
        <v>2.1455999999999999E-2</v>
      </c>
      <c r="E43" s="184">
        <f>+B43*0.25</f>
        <v>7.45E-3</v>
      </c>
      <c r="F43" s="172">
        <f>+'Growth &amp; Inflation Rates'!$G$24</f>
        <v>4.8099999999999997E-2</v>
      </c>
      <c r="G43" s="173">
        <f>+D43+E43+F43</f>
        <v>7.7005999999999991E-2</v>
      </c>
      <c r="H43" s="11"/>
      <c r="I43" s="11"/>
      <c r="J43" s="11"/>
    </row>
    <row r="44" spans="1:10" ht="17.25">
      <c r="A44" s="174"/>
      <c r="B44" s="102"/>
      <c r="C44" s="102"/>
      <c r="D44" s="102"/>
      <c r="E44" s="102"/>
      <c r="F44" s="102"/>
      <c r="G44" s="175"/>
      <c r="H44" s="11"/>
      <c r="I44" s="11"/>
      <c r="J44" s="11"/>
    </row>
    <row r="45" spans="1:10" ht="17.25">
      <c r="A45" s="171" t="s">
        <v>394</v>
      </c>
      <c r="B45" s="184">
        <f t="shared" ref="B45:C46" si="0">+B19</f>
        <v>4.2299999999999997E-2</v>
      </c>
      <c r="C45" s="180">
        <f t="shared" si="0"/>
        <v>0.96</v>
      </c>
      <c r="D45" s="172">
        <f>+B45*C45*0.75</f>
        <v>3.0455999999999997E-2</v>
      </c>
      <c r="E45" s="184">
        <f>+B45*0.25</f>
        <v>1.0574999999999999E-2</v>
      </c>
      <c r="F45" s="172">
        <f>+'Growth &amp; Inflation Rates'!$G$24</f>
        <v>4.8099999999999997E-2</v>
      </c>
      <c r="G45" s="173">
        <f>+D45+E45+F45</f>
        <v>8.9130999999999988E-2</v>
      </c>
      <c r="H45" s="11"/>
      <c r="I45" s="11"/>
      <c r="J45" s="11"/>
    </row>
    <row r="46" spans="1:10" ht="17.25">
      <c r="A46" s="171" t="str">
        <f>+A20</f>
        <v>Damodaran Implied ERP Ex Ante   Avg CF Yield Last 10 Yrs (3)</v>
      </c>
      <c r="B46" s="184">
        <f t="shared" si="0"/>
        <v>6.1800000000000001E-2</v>
      </c>
      <c r="C46" s="180">
        <f t="shared" si="0"/>
        <v>0.96</v>
      </c>
      <c r="D46" s="172">
        <f>+B46*C46*0.75</f>
        <v>4.4496000000000001E-2</v>
      </c>
      <c r="E46" s="184">
        <f>+B46*0.25</f>
        <v>1.545E-2</v>
      </c>
      <c r="F46" s="172">
        <f>+'Growth &amp; Inflation Rates'!$G$24</f>
        <v>4.8099999999999997E-2</v>
      </c>
      <c r="G46" s="173">
        <f>+D46+E46+F46</f>
        <v>0.108046</v>
      </c>
      <c r="H46" s="11"/>
      <c r="I46" s="11"/>
      <c r="J46" s="11"/>
    </row>
    <row r="47" spans="1:10" ht="17.25">
      <c r="A47" s="171" t="s">
        <v>395</v>
      </c>
      <c r="B47" s="184">
        <f>+B21</f>
        <v>3.9600000000000003E-2</v>
      </c>
      <c r="C47" s="180">
        <f>+C21</f>
        <v>0.96</v>
      </c>
      <c r="D47" s="172">
        <f>+B47*C47*0.75</f>
        <v>2.8512000000000003E-2</v>
      </c>
      <c r="E47" s="184">
        <f>+B47*0.25</f>
        <v>9.9000000000000008E-3</v>
      </c>
      <c r="F47" s="172">
        <f>+'Growth &amp; Inflation Rates'!$G$24</f>
        <v>4.8099999999999997E-2</v>
      </c>
      <c r="G47" s="173">
        <f>+D47+E47+F47</f>
        <v>8.6512000000000006E-2</v>
      </c>
      <c r="H47" s="11"/>
      <c r="I47" s="11"/>
      <c r="J47" s="11"/>
    </row>
    <row r="48" spans="1:10" ht="17.25">
      <c r="A48" s="171" t="s">
        <v>396</v>
      </c>
      <c r="B48" s="184">
        <f>+B22</f>
        <v>3.6200000000000003E-2</v>
      </c>
      <c r="C48" s="180">
        <f>+C22</f>
        <v>0.96</v>
      </c>
      <c r="D48" s="172">
        <f>+B48*C48*0.75</f>
        <v>2.6063999999999997E-2</v>
      </c>
      <c r="E48" s="184">
        <f>+B48*0.25</f>
        <v>9.0500000000000008E-3</v>
      </c>
      <c r="F48" s="172">
        <f>+'Growth &amp; Inflation Rates'!$G$24</f>
        <v>4.8099999999999997E-2</v>
      </c>
      <c r="G48" s="173">
        <f>+D48+E48+F48</f>
        <v>8.3213999999999996E-2</v>
      </c>
      <c r="H48" s="11"/>
      <c r="I48" s="11"/>
      <c r="J48" s="11"/>
    </row>
    <row r="49" spans="1:10" ht="17.25">
      <c r="A49" s="171" t="s">
        <v>0</v>
      </c>
      <c r="B49" s="184" t="s">
        <v>0</v>
      </c>
      <c r="C49" s="172" t="s">
        <v>0</v>
      </c>
      <c r="D49" s="172" t="s">
        <v>0</v>
      </c>
      <c r="E49" s="184" t="s">
        <v>0</v>
      </c>
      <c r="F49" s="172" t="s">
        <v>0</v>
      </c>
      <c r="G49" s="173" t="s">
        <v>0</v>
      </c>
      <c r="H49" s="11"/>
      <c r="I49" s="11"/>
      <c r="J49" s="11"/>
    </row>
    <row r="50" spans="1:10" ht="17.25">
      <c r="A50" s="171" t="s">
        <v>209</v>
      </c>
      <c r="B50" s="184">
        <f>+B24</f>
        <v>5.6099999999999997E-2</v>
      </c>
      <c r="C50" s="180">
        <f>+C24</f>
        <v>0.96</v>
      </c>
      <c r="D50" s="172">
        <f>+B50*C50*0.75</f>
        <v>4.0391999999999997E-2</v>
      </c>
      <c r="E50" s="184">
        <f>+B50*0.25</f>
        <v>1.4024999999999999E-2</v>
      </c>
      <c r="F50" s="172">
        <f>+'Growth &amp; Inflation Rates'!$G$24</f>
        <v>4.8099999999999997E-2</v>
      </c>
      <c r="G50" s="173">
        <f>+D50+E50+F50</f>
        <v>0.102517</v>
      </c>
    </row>
    <row r="51" spans="1:10" ht="17.25">
      <c r="A51" s="171" t="s">
        <v>0</v>
      </c>
      <c r="B51" s="184" t="s">
        <v>0</v>
      </c>
      <c r="C51" s="172" t="s">
        <v>0</v>
      </c>
      <c r="D51" s="172" t="s">
        <v>0</v>
      </c>
      <c r="E51" s="184" t="s">
        <v>0</v>
      </c>
      <c r="F51" s="172" t="s">
        <v>0</v>
      </c>
      <c r="G51" s="173" t="s">
        <v>0</v>
      </c>
    </row>
    <row r="52" spans="1:10" ht="17.25">
      <c r="A52" s="171" t="s">
        <v>413</v>
      </c>
      <c r="B52" s="184">
        <f>+B26</f>
        <v>5.5E-2</v>
      </c>
      <c r="C52" s="180">
        <f>+C26</f>
        <v>0.96</v>
      </c>
      <c r="D52" s="172">
        <f>+B52*C52*0.75</f>
        <v>3.9599999999999996E-2</v>
      </c>
      <c r="E52" s="184">
        <f>+B52*0.25</f>
        <v>1.375E-2</v>
      </c>
      <c r="F52" s="172">
        <f>+'Growth &amp; Inflation Rates'!$G$24</f>
        <v>4.8099999999999997E-2</v>
      </c>
      <c r="G52" s="173">
        <f>+D52+E52+F52</f>
        <v>0.10144999999999998</v>
      </c>
    </row>
    <row r="53" spans="1:10" ht="17.25">
      <c r="A53" s="171" t="s">
        <v>0</v>
      </c>
      <c r="B53" s="184" t="s">
        <v>0</v>
      </c>
      <c r="C53" s="172" t="s">
        <v>0</v>
      </c>
      <c r="D53" s="172" t="s">
        <v>0</v>
      </c>
      <c r="E53" s="184" t="s">
        <v>0</v>
      </c>
      <c r="F53" s="172" t="s">
        <v>0</v>
      </c>
      <c r="G53" s="173" t="s">
        <v>0</v>
      </c>
    </row>
    <row r="54" spans="1:10" ht="17.25">
      <c r="A54" s="171" t="s">
        <v>210</v>
      </c>
      <c r="B54" s="184">
        <f>+B28</f>
        <v>6.7799999999999999E-2</v>
      </c>
      <c r="C54" s="180">
        <f>+C28</f>
        <v>0.96</v>
      </c>
      <c r="D54" s="172">
        <f>+B54*C54*0.75</f>
        <v>4.8815999999999998E-2</v>
      </c>
      <c r="E54" s="184">
        <f>+B54*0.25</f>
        <v>1.695E-2</v>
      </c>
      <c r="F54" s="172">
        <f>+'Growth &amp; Inflation Rates'!$G$24</f>
        <v>4.8099999999999997E-2</v>
      </c>
      <c r="G54" s="173">
        <f>+D54+E54+F54</f>
        <v>0.11386599999999999</v>
      </c>
    </row>
    <row r="55" spans="1:10" ht="17.25">
      <c r="A55" s="171" t="s">
        <v>211</v>
      </c>
      <c r="B55" s="184">
        <f>+B29</f>
        <v>5.5399999999999998E-2</v>
      </c>
      <c r="C55" s="180">
        <f>+C29</f>
        <v>0.96</v>
      </c>
      <c r="D55" s="172">
        <f>+B55*C55*0.75</f>
        <v>3.9887999999999993E-2</v>
      </c>
      <c r="E55" s="184">
        <f>+B55*0.25</f>
        <v>1.3849999999999999E-2</v>
      </c>
      <c r="F55" s="172">
        <f>+'Growth &amp; Inflation Rates'!$G$24</f>
        <v>4.8099999999999997E-2</v>
      </c>
      <c r="G55" s="173">
        <f>+D55+E55+F55</f>
        <v>0.10183799999999998</v>
      </c>
    </row>
    <row r="56" spans="1:10" ht="17.25">
      <c r="A56" s="171"/>
      <c r="B56" s="184"/>
      <c r="C56" s="180"/>
      <c r="D56" s="172"/>
      <c r="E56" s="184"/>
      <c r="F56" s="172"/>
      <c r="G56" s="173"/>
    </row>
    <row r="57" spans="1:10" ht="17.25">
      <c r="A57" s="171" t="s">
        <v>397</v>
      </c>
      <c r="B57" s="184">
        <f t="shared" ref="B57:C59" si="1">+B31</f>
        <v>7.3700000000000002E-2</v>
      </c>
      <c r="C57" s="180">
        <f t="shared" si="1"/>
        <v>0.96</v>
      </c>
      <c r="D57" s="172">
        <f>+B57*C57*0.75</f>
        <v>5.3064E-2</v>
      </c>
      <c r="E57" s="184">
        <f>+B57*0.25</f>
        <v>1.8425E-2</v>
      </c>
      <c r="F57" s="172">
        <f>+'Growth &amp; Inflation Rates'!$G$24</f>
        <v>4.8099999999999997E-2</v>
      </c>
      <c r="G57" s="173">
        <f>+D57+E57+F57</f>
        <v>0.119589</v>
      </c>
    </row>
    <row r="58" spans="1:10" ht="17.25">
      <c r="A58" s="171" t="s">
        <v>398</v>
      </c>
      <c r="B58" s="184">
        <f t="shared" si="1"/>
        <v>6.3100000000000003E-2</v>
      </c>
      <c r="C58" s="180">
        <f t="shared" si="1"/>
        <v>0.96</v>
      </c>
      <c r="D58" s="172">
        <f>+B58*C58*0.75</f>
        <v>4.5432E-2</v>
      </c>
      <c r="E58" s="184">
        <f>+B58*0.25</f>
        <v>1.5775000000000001E-2</v>
      </c>
      <c r="F58" s="172">
        <f>+'Growth &amp; Inflation Rates'!$G$24</f>
        <v>4.8099999999999997E-2</v>
      </c>
      <c r="G58" s="173">
        <f>+D58+E58+F58</f>
        <v>0.10930699999999999</v>
      </c>
    </row>
    <row r="59" spans="1:10" ht="17.25">
      <c r="A59" s="171" t="s">
        <v>399</v>
      </c>
      <c r="B59" s="184">
        <f t="shared" si="1"/>
        <v>0.05</v>
      </c>
      <c r="C59" s="180">
        <f t="shared" si="1"/>
        <v>0.96</v>
      </c>
      <c r="D59" s="172">
        <f>+B59*C59*0.75</f>
        <v>3.6000000000000004E-2</v>
      </c>
      <c r="E59" s="184">
        <f>+B59*0.25</f>
        <v>1.2500000000000001E-2</v>
      </c>
      <c r="F59" s="172">
        <f>+'Growth &amp; Inflation Rates'!$G$24</f>
        <v>4.8099999999999997E-2</v>
      </c>
      <c r="G59" s="173">
        <f>+D59+E59+F59</f>
        <v>9.6599999999999991E-2</v>
      </c>
    </row>
    <row r="60" spans="1:10" ht="17.25">
      <c r="A60" s="171"/>
      <c r="B60" s="184"/>
      <c r="C60" s="180"/>
      <c r="D60" s="172"/>
      <c r="E60" s="184"/>
      <c r="F60" s="172"/>
      <c r="G60" s="173"/>
    </row>
    <row r="61" spans="1:10" ht="17.25">
      <c r="A61" s="360" t="s">
        <v>0</v>
      </c>
      <c r="B61" s="361" t="s">
        <v>0</v>
      </c>
      <c r="C61" s="180" t="s">
        <v>0</v>
      </c>
      <c r="D61" s="172" t="s">
        <v>0</v>
      </c>
      <c r="E61" s="184" t="s">
        <v>0</v>
      </c>
      <c r="F61" s="172" t="s">
        <v>0</v>
      </c>
      <c r="G61" s="173" t="s">
        <v>0</v>
      </c>
    </row>
    <row r="62" spans="1:10" ht="15.75" thickBot="1">
      <c r="A62" s="265"/>
      <c r="B62" s="137"/>
      <c r="C62" s="137"/>
      <c r="D62" s="137"/>
      <c r="E62" s="137"/>
      <c r="F62" s="137"/>
      <c r="G62" s="266"/>
    </row>
    <row r="64" spans="1:10" ht="17.25">
      <c r="A64" s="59" t="s">
        <v>71</v>
      </c>
      <c r="E64" s="183" t="s">
        <v>0</v>
      </c>
    </row>
    <row r="65" spans="1:7">
      <c r="A65" s="147" t="s">
        <v>0</v>
      </c>
      <c r="E65" s="183" t="s">
        <v>0</v>
      </c>
    </row>
    <row r="66" spans="1:7" ht="16.5">
      <c r="A66" s="430" t="s">
        <v>443</v>
      </c>
      <c r="B66" s="11"/>
      <c r="C66" s="11"/>
      <c r="D66" s="11"/>
      <c r="E66" s="11"/>
      <c r="F66" s="11"/>
      <c r="G66" s="11"/>
    </row>
    <row r="67" spans="1:7" ht="16.5">
      <c r="A67" s="430" t="s">
        <v>444</v>
      </c>
      <c r="B67" s="11"/>
      <c r="C67" s="11"/>
      <c r="D67" s="11"/>
      <c r="E67" s="11"/>
      <c r="F67" s="11"/>
      <c r="G67" s="11"/>
    </row>
    <row r="68" spans="1:7" ht="16.5">
      <c r="A68" s="41" t="s">
        <v>0</v>
      </c>
      <c r="B68" s="11"/>
      <c r="C68" s="11"/>
      <c r="D68" s="11"/>
      <c r="E68" s="11"/>
      <c r="F68" s="11"/>
      <c r="G68" s="11"/>
    </row>
    <row r="69" spans="1:7" ht="16.5">
      <c r="A69" s="41" t="s">
        <v>486</v>
      </c>
      <c r="B69" s="11"/>
      <c r="C69" s="11"/>
      <c r="D69" s="11"/>
      <c r="E69" s="11"/>
      <c r="F69" s="11"/>
      <c r="G69" s="11"/>
    </row>
    <row r="70" spans="1:7" ht="16.5">
      <c r="A70" s="135" t="s">
        <v>390</v>
      </c>
      <c r="C70" s="11"/>
      <c r="D70" s="11"/>
      <c r="E70" s="11"/>
      <c r="F70" s="11"/>
      <c r="G70" s="11"/>
    </row>
    <row r="71" spans="1:7" ht="16.5">
      <c r="A71" s="41" t="s">
        <v>0</v>
      </c>
      <c r="B71" s="11"/>
      <c r="C71" s="11"/>
      <c r="D71" s="11"/>
      <c r="E71" s="11"/>
      <c r="F71" s="11"/>
      <c r="G71" s="11"/>
    </row>
    <row r="72" spans="1:7" ht="16.5">
      <c r="A72" s="41" t="s">
        <v>487</v>
      </c>
      <c r="B72" s="11"/>
      <c r="C72" s="11"/>
      <c r="D72" s="11"/>
      <c r="E72" s="11"/>
      <c r="F72" s="11"/>
      <c r="G72" s="11"/>
    </row>
    <row r="73" spans="1:7" ht="16.5">
      <c r="A73" s="135" t="s">
        <v>391</v>
      </c>
      <c r="B73" s="11"/>
      <c r="C73" s="11"/>
      <c r="D73" s="11"/>
      <c r="E73" s="11"/>
      <c r="F73" s="11"/>
      <c r="G73" s="11"/>
    </row>
    <row r="74" spans="1:7" ht="16.5">
      <c r="A74" s="41"/>
      <c r="B74" s="11"/>
      <c r="C74" s="11"/>
      <c r="D74" s="11"/>
      <c r="E74" s="11"/>
      <c r="F74" s="11"/>
      <c r="G74" s="11"/>
    </row>
    <row r="75" spans="1:7" ht="16.5">
      <c r="A75" s="41" t="s">
        <v>488</v>
      </c>
      <c r="B75" s="11"/>
      <c r="C75" s="11"/>
      <c r="D75" s="11"/>
      <c r="E75" s="11"/>
      <c r="F75" s="11"/>
      <c r="G75" s="11"/>
    </row>
    <row r="76" spans="1:7" ht="16.5">
      <c r="A76" s="135" t="s">
        <v>497</v>
      </c>
      <c r="B76" s="11"/>
      <c r="C76" s="11"/>
      <c r="D76" s="11"/>
      <c r="E76" s="11"/>
      <c r="F76" s="11"/>
      <c r="G76" s="11"/>
    </row>
    <row r="77" spans="1:7" ht="16.5">
      <c r="A77" s="41"/>
      <c r="B77" s="11"/>
      <c r="C77" s="11"/>
      <c r="D77" s="11"/>
      <c r="E77" s="11"/>
      <c r="F77" s="11"/>
      <c r="G77" s="11"/>
    </row>
    <row r="78" spans="1:7" ht="16.5">
      <c r="A78" s="41" t="s">
        <v>466</v>
      </c>
      <c r="B78" s="11"/>
      <c r="C78" s="11"/>
      <c r="D78" s="11"/>
      <c r="E78" s="11"/>
      <c r="F78" s="11"/>
      <c r="G78" s="11"/>
    </row>
    <row r="79" spans="1:7" ht="16.5">
      <c r="A79" s="135" t="s">
        <v>392</v>
      </c>
      <c r="B79" s="11"/>
      <c r="C79" s="11"/>
      <c r="D79" s="11"/>
      <c r="E79" s="11"/>
      <c r="F79" s="11"/>
      <c r="G79" s="11"/>
    </row>
    <row r="80" spans="1:7">
      <c r="A80" s="147"/>
    </row>
    <row r="81" spans="1:7" ht="16.5">
      <c r="A81" s="41" t="s">
        <v>467</v>
      </c>
    </row>
    <row r="82" spans="1:7" ht="16.5">
      <c r="A82" s="41" t="s">
        <v>0</v>
      </c>
    </row>
    <row r="83" spans="1:7" ht="16.5">
      <c r="A83" s="41" t="s">
        <v>0</v>
      </c>
    </row>
    <row r="84" spans="1:7">
      <c r="A84" s="135"/>
    </row>
    <row r="85" spans="1:7" ht="21" thickBot="1">
      <c r="A85" s="138"/>
      <c r="B85" s="138"/>
      <c r="C85" s="138"/>
      <c r="D85" s="27"/>
      <c r="E85" s="34"/>
      <c r="F85" s="27"/>
      <c r="G85" s="137"/>
    </row>
  </sheetData>
  <hyperlinks>
    <hyperlink ref="A79" r:id="rId1" xr:uid="{7E2371A2-A8C0-4913-8B86-B969E9E7B141}"/>
    <hyperlink ref="A70" r:id="rId2" xr:uid="{7B69BB90-F5A0-4E9F-8271-922FBEC5FFA0}"/>
    <hyperlink ref="A73" r:id="rId3" xr:uid="{7272E62A-CFDB-4C92-B209-3F236389A2DF}"/>
    <hyperlink ref="A76" r:id="rId4" xr:uid="{2D8A6832-625B-4E65-B090-C3AA69F50ADA}"/>
  </hyperlinks>
  <pageMargins left="0.25" right="0.25" top="0.75" bottom="0.75" header="0.3" footer="0.3"/>
  <pageSetup scale="40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B9618-1120-4E3F-9F7F-B5253F9B2967}">
  <sheetPr>
    <tabColor rgb="FF92D050"/>
  </sheetPr>
  <dimension ref="A1:R108"/>
  <sheetViews>
    <sheetView view="pageBreakPreview" topLeftCell="A19" zoomScale="70" zoomScaleNormal="80" zoomScaleSheetLayoutView="70" workbookViewId="0">
      <selection activeCell="E83" sqref="E83"/>
    </sheetView>
  </sheetViews>
  <sheetFormatPr defaultRowHeight="15"/>
  <cols>
    <col min="1" max="1" width="70.5703125" customWidth="1"/>
    <col min="2" max="2" width="23.5703125" customWidth="1"/>
    <col min="3" max="3" width="26.7109375" customWidth="1"/>
    <col min="4" max="4" width="27.85546875" customWidth="1"/>
    <col min="5" max="5" width="28.85546875" customWidth="1"/>
    <col min="6" max="6" width="29.140625" customWidth="1"/>
    <col min="7" max="7" width="31" customWidth="1"/>
    <col min="8" max="8" width="27.42578125" customWidth="1"/>
    <col min="9" max="9" width="15.42578125" customWidth="1"/>
    <col min="10" max="10" width="23.42578125" customWidth="1"/>
    <col min="11" max="11" width="18.28515625" customWidth="1"/>
    <col min="12" max="12" width="14.140625" bestFit="1" customWidth="1"/>
    <col min="14" max="14" width="1.7109375" bestFit="1" customWidth="1"/>
    <col min="16" max="16" width="18.140625" bestFit="1" customWidth="1"/>
    <col min="17" max="17" width="18.5703125" bestFit="1" customWidth="1"/>
    <col min="18" max="18" width="47.42578125" bestFit="1" customWidth="1"/>
  </cols>
  <sheetData>
    <row r="1" spans="1:11" ht="26.25">
      <c r="A1" s="22" t="s">
        <v>1</v>
      </c>
      <c r="C1" s="22"/>
      <c r="D1" s="22"/>
      <c r="E1" s="11"/>
      <c r="F1" s="11"/>
      <c r="G1" s="11"/>
      <c r="H1" s="11"/>
      <c r="I1" s="11"/>
      <c r="J1" s="11"/>
      <c r="K1" s="11"/>
    </row>
    <row r="2" spans="1:11" ht="17.25">
      <c r="A2" s="23" t="s">
        <v>9</v>
      </c>
      <c r="C2" s="23"/>
      <c r="D2" s="23"/>
      <c r="E2" s="11"/>
      <c r="F2" s="11"/>
      <c r="G2" s="11"/>
      <c r="H2" s="11"/>
      <c r="I2" s="11"/>
      <c r="J2" s="11"/>
      <c r="K2" s="11"/>
    </row>
    <row r="3" spans="1:11" ht="16.5">
      <c r="A3" s="24" t="s">
        <v>465</v>
      </c>
      <c r="C3" s="24"/>
      <c r="D3" s="24"/>
      <c r="E3" s="11"/>
      <c r="F3" s="11"/>
      <c r="G3" s="11"/>
      <c r="H3" s="11"/>
      <c r="I3" s="11"/>
      <c r="J3" s="11"/>
      <c r="K3" s="11"/>
    </row>
    <row r="4" spans="1:11" ht="16.5">
      <c r="B4" s="24"/>
      <c r="C4" s="24"/>
      <c r="D4" s="24"/>
      <c r="E4" s="11"/>
      <c r="F4" s="11"/>
      <c r="G4" s="11"/>
      <c r="H4" s="11"/>
      <c r="I4" s="11"/>
      <c r="J4" s="11"/>
      <c r="K4" s="11"/>
    </row>
    <row r="5" spans="1:11" ht="16.5">
      <c r="B5" s="11"/>
      <c r="C5" s="11"/>
      <c r="D5" s="11"/>
      <c r="E5" s="11"/>
      <c r="F5" s="11"/>
      <c r="G5" s="11"/>
      <c r="H5" s="11"/>
      <c r="I5" s="488" t="s">
        <v>0</v>
      </c>
      <c r="J5" s="25"/>
      <c r="K5" s="11"/>
    </row>
    <row r="6" spans="1:11" ht="17.25" thickBot="1">
      <c r="B6" s="11"/>
      <c r="C6" s="11"/>
      <c r="D6" s="27"/>
      <c r="E6" s="27"/>
      <c r="F6" s="137"/>
      <c r="H6" s="11"/>
      <c r="I6" s="11"/>
      <c r="J6" s="11"/>
    </row>
    <row r="7" spans="1:11" ht="27" thickBot="1">
      <c r="A7" s="26" t="str">
        <f>+'S&amp;D'!A12</f>
        <v>Natural Gas Transmission Pipeline Carrier</v>
      </c>
      <c r="C7" s="28"/>
      <c r="D7" s="28"/>
      <c r="E7" s="29" t="s">
        <v>238</v>
      </c>
      <c r="H7" s="11"/>
      <c r="I7" s="11"/>
      <c r="J7" s="11"/>
    </row>
    <row r="8" spans="1:11" ht="21" thickBot="1">
      <c r="B8" s="28"/>
      <c r="C8" s="28"/>
      <c r="D8" s="138"/>
      <c r="E8" s="34" t="s">
        <v>477</v>
      </c>
      <c r="F8" s="137"/>
      <c r="H8" s="11"/>
      <c r="I8" s="11"/>
    </row>
    <row r="9" spans="1:11" ht="20.25">
      <c r="B9" s="28"/>
      <c r="C9" s="28"/>
      <c r="D9" s="28"/>
      <c r="E9" s="32"/>
      <c r="H9" s="11"/>
      <c r="I9" s="11"/>
    </row>
    <row r="10" spans="1:11" ht="29.1" customHeight="1" thickBot="1">
      <c r="A10" s="138"/>
      <c r="B10" s="28"/>
      <c r="I10" s="11"/>
    </row>
    <row r="11" spans="1:11" ht="22.5" customHeight="1" thickBot="1">
      <c r="A11" s="150" t="s">
        <v>237</v>
      </c>
      <c r="B11" s="28"/>
      <c r="I11" s="11"/>
    </row>
    <row r="12" spans="1:11" ht="20.100000000000001" customHeight="1" thickBot="1">
      <c r="A12" s="149" t="s">
        <v>0</v>
      </c>
      <c r="B12" s="11"/>
      <c r="C12" s="11"/>
      <c r="D12" s="11"/>
      <c r="E12" s="11"/>
      <c r="F12" s="11"/>
      <c r="G12" s="11"/>
      <c r="H12" s="11"/>
      <c r="I12" s="11"/>
    </row>
    <row r="13" spans="1:11" ht="60.6" customHeight="1" thickBot="1">
      <c r="A13" s="196" t="s">
        <v>0</v>
      </c>
      <c r="B13" s="144" t="s">
        <v>286</v>
      </c>
      <c r="C13" s="144" t="s">
        <v>285</v>
      </c>
      <c r="D13" s="143" t="s">
        <v>217</v>
      </c>
      <c r="E13" s="144" t="s">
        <v>218</v>
      </c>
      <c r="F13" s="144" t="s">
        <v>255</v>
      </c>
      <c r="G13" s="144" t="s">
        <v>254</v>
      </c>
      <c r="H13" s="144" t="s">
        <v>219</v>
      </c>
    </row>
    <row r="14" spans="1:11" ht="16.5">
      <c r="A14" s="139"/>
      <c r="B14" s="188"/>
      <c r="C14" s="188"/>
      <c r="D14" s="106"/>
      <c r="E14" s="188"/>
      <c r="F14" s="188"/>
      <c r="G14" s="188"/>
      <c r="H14" s="188"/>
    </row>
    <row r="15" spans="1:11" ht="20.25">
      <c r="A15" s="148" t="str">
        <f>+A7</f>
        <v>Natural Gas Transmission Pipeline Carrier</v>
      </c>
      <c r="B15" s="207"/>
      <c r="C15" s="207"/>
      <c r="D15" s="307"/>
      <c r="E15" s="207"/>
      <c r="F15" s="207">
        <f>+'Dividends '!K26</f>
        <v>5.7264270346431258E-2</v>
      </c>
      <c r="G15" s="207">
        <f>+Earnings!K26</f>
        <v>9.035543672952992E-2</v>
      </c>
      <c r="H15" s="207"/>
    </row>
    <row r="16" spans="1:11" ht="21" thickBot="1">
      <c r="A16" s="141" t="s">
        <v>0</v>
      </c>
      <c r="B16" s="189" t="s">
        <v>0</v>
      </c>
      <c r="C16" s="189"/>
      <c r="D16" s="308"/>
      <c r="E16" s="189"/>
      <c r="F16" s="233">
        <f>+Earnings!K27</f>
        <v>9.6261128685881631E-2</v>
      </c>
      <c r="G16" s="233">
        <f>+Earnings!K27</f>
        <v>9.6261128685881631E-2</v>
      </c>
      <c r="H16" s="189"/>
    </row>
    <row r="17" spans="1:18" ht="57.95" customHeight="1" thickBot="1">
      <c r="A17" s="11"/>
      <c r="B17" s="11"/>
      <c r="C17" s="11"/>
      <c r="D17" s="11"/>
      <c r="E17" s="11"/>
      <c r="F17" s="11"/>
      <c r="G17" s="11"/>
      <c r="H17" s="11"/>
      <c r="I17" s="11"/>
    </row>
    <row r="18" spans="1:18" ht="24.95" customHeight="1" thickBot="1">
      <c r="A18" s="150" t="s">
        <v>445</v>
      </c>
      <c r="B18" s="11"/>
      <c r="C18" s="11"/>
      <c r="D18" s="413"/>
      <c r="E18" s="11"/>
      <c r="F18" s="11"/>
      <c r="G18" s="11"/>
      <c r="H18" s="11"/>
      <c r="I18" s="11"/>
    </row>
    <row r="19" spans="1:18" ht="20.100000000000001" customHeight="1">
      <c r="A19" s="11"/>
      <c r="B19" s="11"/>
      <c r="C19" s="11"/>
      <c r="D19" s="431" t="s">
        <v>445</v>
      </c>
      <c r="E19" s="11"/>
      <c r="F19" s="11"/>
      <c r="G19" s="11"/>
      <c r="H19" s="11"/>
      <c r="I19" s="11"/>
    </row>
    <row r="20" spans="1:18" ht="27.95" customHeight="1">
      <c r="A20" s="432"/>
      <c r="B20" s="407"/>
      <c r="C20" s="433" t="s">
        <v>468</v>
      </c>
      <c r="D20" s="434"/>
      <c r="E20" s="11"/>
      <c r="F20" s="11"/>
      <c r="G20" s="11"/>
      <c r="H20" s="11"/>
      <c r="I20" s="11"/>
    </row>
    <row r="21" spans="1:18" ht="27.95" customHeight="1">
      <c r="A21" s="358"/>
      <c r="C21" s="435" t="s">
        <v>446</v>
      </c>
      <c r="D21" s="436">
        <v>4.19E-2</v>
      </c>
      <c r="E21" s="11"/>
      <c r="F21" s="11"/>
      <c r="G21" s="11"/>
      <c r="H21" s="11"/>
      <c r="I21" s="11"/>
    </row>
    <row r="22" spans="1:18" ht="27" customHeight="1">
      <c r="A22" s="358"/>
      <c r="C22" s="435" t="s">
        <v>447</v>
      </c>
      <c r="D22" s="436">
        <v>4.8099999999999997E-2</v>
      </c>
      <c r="E22" s="11"/>
      <c r="F22" s="11"/>
      <c r="G22" s="11"/>
      <c r="H22" s="11"/>
      <c r="I22" s="11"/>
    </row>
    <row r="23" spans="1:18" ht="27" customHeight="1" thickBot="1">
      <c r="A23" s="358"/>
      <c r="C23" s="435" t="s">
        <v>448</v>
      </c>
      <c r="D23" s="436">
        <v>4.8599999999999997E-2</v>
      </c>
      <c r="E23" s="11"/>
      <c r="F23" s="11"/>
      <c r="G23" s="437" t="s">
        <v>449</v>
      </c>
      <c r="I23" s="11"/>
    </row>
    <row r="24" spans="1:18" ht="27" customHeight="1" thickBot="1">
      <c r="A24" s="358"/>
      <c r="B24" s="11"/>
      <c r="C24" s="438" t="s">
        <v>469</v>
      </c>
      <c r="D24" s="439"/>
      <c r="E24" s="11"/>
      <c r="F24" s="11"/>
      <c r="G24" s="440">
        <v>4.8099999999999997E-2</v>
      </c>
      <c r="H24" s="11"/>
      <c r="I24" s="11"/>
    </row>
    <row r="25" spans="1:18" ht="27" customHeight="1">
      <c r="A25" s="358"/>
      <c r="C25" s="435" t="s">
        <v>446</v>
      </c>
      <c r="D25" s="436">
        <v>4.5499999999999999E-2</v>
      </c>
      <c r="E25" s="11"/>
      <c r="F25" s="11"/>
      <c r="G25" s="11"/>
      <c r="H25" s="11"/>
      <c r="I25" s="11"/>
    </row>
    <row r="26" spans="1:18" ht="27" customHeight="1">
      <c r="A26" s="358"/>
      <c r="C26" s="435" t="s">
        <v>450</v>
      </c>
      <c r="D26" s="436">
        <v>0</v>
      </c>
      <c r="E26" s="11"/>
      <c r="F26" s="11"/>
      <c r="G26" s="11"/>
      <c r="H26" s="11"/>
      <c r="I26" s="11"/>
    </row>
    <row r="27" spans="1:18" ht="27" customHeight="1">
      <c r="A27" s="358"/>
      <c r="C27" s="435" t="s">
        <v>451</v>
      </c>
      <c r="D27" s="436">
        <v>4.7699999999999999E-2</v>
      </c>
      <c r="E27" s="11"/>
      <c r="F27" s="11"/>
      <c r="G27" s="11"/>
      <c r="H27" s="11"/>
      <c r="I27" s="11"/>
    </row>
    <row r="28" spans="1:18" ht="27" customHeight="1">
      <c r="A28" s="358"/>
      <c r="C28" s="441" t="s">
        <v>470</v>
      </c>
      <c r="D28" s="442">
        <v>4.58E-2</v>
      </c>
      <c r="E28" s="11"/>
      <c r="F28" s="11"/>
      <c r="G28" s="11"/>
      <c r="H28" s="11"/>
      <c r="I28" s="11"/>
    </row>
    <row r="29" spans="1:18" ht="20.25">
      <c r="A29" s="443"/>
      <c r="B29" s="216"/>
      <c r="C29" s="444" t="s">
        <v>471</v>
      </c>
      <c r="D29" s="445">
        <v>4.8599999999999997E-2</v>
      </c>
      <c r="L29" s="11"/>
    </row>
    <row r="30" spans="1:18" ht="63.6" customHeight="1" thickBot="1">
      <c r="B30" s="11"/>
      <c r="C30" s="11"/>
      <c r="D30" s="27"/>
      <c r="E30" s="27"/>
      <c r="F30" s="27"/>
      <c r="G30" s="11"/>
      <c r="H30" s="11"/>
      <c r="I30" s="11"/>
      <c r="L30" s="11"/>
    </row>
    <row r="31" spans="1:18" ht="26.25">
      <c r="B31" s="28"/>
      <c r="C31" s="28"/>
      <c r="D31" s="11"/>
      <c r="E31" s="29" t="s">
        <v>202</v>
      </c>
      <c r="F31" s="11"/>
      <c r="G31" s="11"/>
      <c r="H31" s="11"/>
      <c r="I31" s="11"/>
      <c r="J31" s="446" t="s">
        <v>0</v>
      </c>
      <c r="K31" s="82"/>
      <c r="L31" s="82"/>
      <c r="M31" s="82"/>
      <c r="N31" s="82"/>
      <c r="O31" s="11"/>
      <c r="P31" s="11"/>
      <c r="Q31" s="11"/>
      <c r="R31" s="11"/>
    </row>
    <row r="32" spans="1:18" ht="21" thickBot="1">
      <c r="A32" s="137"/>
      <c r="B32" s="28"/>
      <c r="C32" s="28"/>
      <c r="D32" s="27"/>
      <c r="E32" s="34" t="s">
        <v>477</v>
      </c>
      <c r="F32" s="27"/>
      <c r="G32" s="11"/>
      <c r="H32" s="11"/>
      <c r="I32" s="11"/>
      <c r="J32" s="447"/>
      <c r="K32" s="448"/>
      <c r="L32" s="448"/>
      <c r="M32" s="82"/>
      <c r="N32" s="82"/>
      <c r="O32" s="11"/>
      <c r="P32" s="11"/>
      <c r="Q32" s="11"/>
      <c r="R32" s="11"/>
    </row>
    <row r="33" spans="1:18" ht="21" thickBot="1">
      <c r="A33" s="136" t="s">
        <v>419</v>
      </c>
      <c r="B33" s="28"/>
      <c r="C33" s="28"/>
      <c r="D33" s="32"/>
      <c r="E33" s="134"/>
      <c r="F33" s="11"/>
      <c r="G33" s="11"/>
      <c r="H33" s="11"/>
      <c r="I33" s="11"/>
      <c r="J33" s="447"/>
      <c r="K33" s="447"/>
      <c r="L33" s="447"/>
      <c r="M33" s="448"/>
      <c r="N33" s="489" t="s">
        <v>0</v>
      </c>
      <c r="O33" s="11"/>
      <c r="P33" s="11"/>
      <c r="Q33" s="11"/>
      <c r="R33" s="11"/>
    </row>
    <row r="34" spans="1:18" ht="18.75">
      <c r="A34" s="38" t="s">
        <v>0</v>
      </c>
      <c r="B34" s="38"/>
      <c r="C34" s="38"/>
      <c r="D34" s="38" t="s">
        <v>0</v>
      </c>
      <c r="E34" s="38" t="s">
        <v>0</v>
      </c>
      <c r="F34" s="38" t="s">
        <v>0</v>
      </c>
      <c r="G34" s="38"/>
      <c r="H34" s="11"/>
      <c r="I34" s="11"/>
      <c r="J34" s="447"/>
      <c r="K34" s="449"/>
      <c r="L34" s="447"/>
      <c r="M34" s="448"/>
      <c r="N34" s="82"/>
      <c r="O34" s="11"/>
      <c r="P34" s="11"/>
      <c r="Q34" s="11"/>
      <c r="R34" s="11"/>
    </row>
    <row r="35" spans="1:18" ht="20.25">
      <c r="A35" s="32" t="s">
        <v>0</v>
      </c>
      <c r="B35" s="32"/>
      <c r="C35" s="32"/>
      <c r="D35" s="390" t="s">
        <v>77</v>
      </c>
      <c r="E35" s="390" t="s">
        <v>239</v>
      </c>
      <c r="F35" s="390" t="s">
        <v>121</v>
      </c>
      <c r="G35" s="230"/>
      <c r="H35" s="11"/>
      <c r="I35" s="11"/>
      <c r="J35" s="447"/>
      <c r="K35" s="447"/>
      <c r="L35" s="447"/>
      <c r="M35" s="448"/>
      <c r="N35" s="82"/>
      <c r="O35" s="11"/>
      <c r="P35" s="11"/>
      <c r="Q35" s="11"/>
      <c r="R35" s="11"/>
    </row>
    <row r="36" spans="1:18" ht="20.25">
      <c r="A36" s="467" t="s">
        <v>119</v>
      </c>
      <c r="B36" s="468"/>
      <c r="C36" s="469"/>
      <c r="D36" s="391" t="s">
        <v>79</v>
      </c>
      <c r="E36" s="391" t="s">
        <v>120</v>
      </c>
      <c r="F36" s="391" t="s">
        <v>122</v>
      </c>
      <c r="G36" s="230"/>
      <c r="H36" s="11"/>
      <c r="I36" s="11"/>
      <c r="J36" s="448"/>
      <c r="K36" s="448"/>
      <c r="L36" s="450"/>
      <c r="M36" s="448"/>
      <c r="N36" s="82"/>
      <c r="O36" s="11"/>
      <c r="P36" s="11"/>
      <c r="Q36" s="11"/>
      <c r="R36" s="11"/>
    </row>
    <row r="37" spans="1:18" ht="18.75">
      <c r="H37" s="389"/>
      <c r="J37" s="448"/>
      <c r="K37" s="448"/>
      <c r="L37" s="82"/>
      <c r="M37" s="82"/>
      <c r="N37" s="82"/>
      <c r="O37" s="11"/>
      <c r="P37" s="11"/>
      <c r="Q37" s="11"/>
      <c r="R37" s="11"/>
    </row>
    <row r="38" spans="1:18" ht="20.25">
      <c r="A38" s="392" t="s">
        <v>240</v>
      </c>
      <c r="B38" s="151"/>
      <c r="C38" s="185"/>
      <c r="D38" s="393">
        <v>2.2499999999999999E-2</v>
      </c>
      <c r="E38" s="394" t="s">
        <v>489</v>
      </c>
      <c r="F38" s="394" t="s">
        <v>489</v>
      </c>
      <c r="H38" s="389" t="s">
        <v>0</v>
      </c>
      <c r="J38" s="451"/>
      <c r="K38" s="448"/>
      <c r="L38" s="448"/>
      <c r="M38" s="82"/>
      <c r="N38" s="82"/>
      <c r="O38" s="11"/>
      <c r="P38" s="11"/>
      <c r="Q38" s="11"/>
      <c r="R38" s="11"/>
    </row>
    <row r="39" spans="1:18" ht="20.25">
      <c r="A39" s="395" t="s">
        <v>241</v>
      </c>
      <c r="B39" s="59"/>
      <c r="C39" s="186"/>
      <c r="D39" s="396">
        <v>2.4199999999999999E-2</v>
      </c>
      <c r="E39" s="397" t="s">
        <v>489</v>
      </c>
      <c r="F39" s="397" t="s">
        <v>489</v>
      </c>
      <c r="H39" s="28" t="s">
        <v>0</v>
      </c>
      <c r="I39" s="11"/>
      <c r="J39" s="451"/>
      <c r="K39" s="448"/>
      <c r="L39" s="448"/>
      <c r="M39" s="82"/>
      <c r="N39" s="82"/>
      <c r="O39" s="11"/>
      <c r="P39" s="11"/>
      <c r="Q39" s="11"/>
      <c r="R39" s="11"/>
    </row>
    <row r="40" spans="1:18" ht="20.25">
      <c r="A40" s="398" t="s">
        <v>242</v>
      </c>
      <c r="B40" s="153"/>
      <c r="C40" s="187"/>
      <c r="D40" s="399">
        <v>2.23E-2</v>
      </c>
      <c r="E40" s="400" t="s">
        <v>489</v>
      </c>
      <c r="F40" s="400" t="s">
        <v>489</v>
      </c>
      <c r="H40" s="118" t="s">
        <v>0</v>
      </c>
      <c r="I40" s="11"/>
      <c r="J40" s="451"/>
      <c r="K40" s="448"/>
      <c r="L40" s="448"/>
      <c r="M40" s="82"/>
      <c r="N40" s="82"/>
      <c r="O40" s="11"/>
      <c r="P40" s="11"/>
      <c r="Q40" s="11"/>
      <c r="R40" s="11"/>
    </row>
    <row r="41" spans="1:18" ht="20.25">
      <c r="A41" s="395" t="s">
        <v>243</v>
      </c>
      <c r="B41" s="59"/>
      <c r="C41" s="186"/>
      <c r="D41" s="401">
        <v>2.29E-2</v>
      </c>
      <c r="E41" s="401">
        <v>2.01E-2</v>
      </c>
      <c r="F41" s="396">
        <f t="shared" ref="F41:F49" si="0">+D41+E41</f>
        <v>4.2999999999999997E-2</v>
      </c>
      <c r="H41" s="11" t="s">
        <v>0</v>
      </c>
      <c r="I41" s="11"/>
      <c r="J41" s="451"/>
      <c r="K41" s="448"/>
      <c r="L41" s="448"/>
      <c r="M41" s="82"/>
      <c r="N41" s="82"/>
      <c r="O41" s="11"/>
      <c r="P41" s="11"/>
      <c r="Q41" s="11"/>
      <c r="R41" s="11"/>
    </row>
    <row r="42" spans="1:18" ht="20.25">
      <c r="A42" s="395" t="s">
        <v>420</v>
      </c>
      <c r="B42" s="59"/>
      <c r="C42" s="186"/>
      <c r="D42" s="401">
        <v>2.4E-2</v>
      </c>
      <c r="E42" s="401">
        <v>0.02</v>
      </c>
      <c r="F42" s="396">
        <f t="shared" si="0"/>
        <v>4.3999999999999997E-2</v>
      </c>
      <c r="H42" s="11"/>
      <c r="I42" s="11"/>
      <c r="J42" s="451"/>
      <c r="K42" s="448"/>
      <c r="L42" s="82"/>
      <c r="M42" s="82"/>
      <c r="N42" s="82"/>
      <c r="O42" s="11"/>
      <c r="P42" s="11"/>
      <c r="Q42" s="11"/>
      <c r="R42" s="11"/>
    </row>
    <row r="43" spans="1:18" ht="20.25">
      <c r="A43" s="398" t="s">
        <v>421</v>
      </c>
      <c r="B43" s="153"/>
      <c r="C43" s="187"/>
      <c r="D43" s="402">
        <v>2.3400000000000001E-2</v>
      </c>
      <c r="E43" s="402">
        <v>2.1000000000000001E-2</v>
      </c>
      <c r="F43" s="399">
        <f t="shared" si="0"/>
        <v>4.4400000000000002E-2</v>
      </c>
      <c r="H43" s="11"/>
      <c r="I43" s="11"/>
      <c r="J43" s="451"/>
      <c r="K43" s="448"/>
      <c r="L43" s="82"/>
      <c r="M43" s="82"/>
      <c r="N43" s="82"/>
      <c r="O43" s="11"/>
      <c r="P43" s="11"/>
      <c r="Q43" s="11"/>
      <c r="R43" s="11"/>
    </row>
    <row r="44" spans="1:18" ht="20.25">
      <c r="A44" s="395" t="s">
        <v>422</v>
      </c>
      <c r="B44" s="59"/>
      <c r="C44" s="186"/>
      <c r="D44" s="396">
        <v>2.3E-2</v>
      </c>
      <c r="E44" s="401">
        <v>1.7999999999999999E-2</v>
      </c>
      <c r="F44" s="396">
        <f t="shared" si="0"/>
        <v>4.0999999999999995E-2</v>
      </c>
      <c r="H44" s="117" t="s">
        <v>0</v>
      </c>
      <c r="I44" s="11"/>
      <c r="J44" s="451"/>
      <c r="K44" s="448"/>
      <c r="L44" s="82"/>
      <c r="M44" s="82"/>
      <c r="N44" s="82"/>
      <c r="O44" s="11"/>
      <c r="P44" s="11"/>
      <c r="Q44" s="11"/>
      <c r="R44" s="11"/>
    </row>
    <row r="45" spans="1:18" ht="20.25">
      <c r="A45" s="395" t="s">
        <v>423</v>
      </c>
      <c r="B45" s="59"/>
      <c r="C45" s="186"/>
      <c r="D45" s="396">
        <v>2.3E-2</v>
      </c>
      <c r="E45" s="401">
        <v>2.1000000000000001E-2</v>
      </c>
      <c r="F45" s="396">
        <f t="shared" si="0"/>
        <v>4.3999999999999997E-2</v>
      </c>
      <c r="H45" s="117" t="s">
        <v>0</v>
      </c>
      <c r="I45" s="11"/>
      <c r="J45" s="451"/>
      <c r="K45" s="448"/>
      <c r="L45" s="82"/>
      <c r="M45" s="82"/>
      <c r="N45" s="82"/>
      <c r="O45" s="11"/>
      <c r="P45" s="11"/>
      <c r="Q45" s="11"/>
      <c r="R45" s="11"/>
    </row>
    <row r="46" spans="1:18" ht="20.25">
      <c r="A46" s="398" t="s">
        <v>424</v>
      </c>
      <c r="B46" s="153"/>
      <c r="C46" s="187"/>
      <c r="D46" s="399">
        <v>2.3E-2</v>
      </c>
      <c r="E46" s="402">
        <v>1.9E-2</v>
      </c>
      <c r="F46" s="399">
        <f t="shared" si="0"/>
        <v>4.1999999999999996E-2</v>
      </c>
      <c r="H46" s="11"/>
      <c r="I46" s="11"/>
      <c r="J46" s="451"/>
      <c r="K46" s="448"/>
      <c r="L46" s="82"/>
      <c r="M46" s="82"/>
      <c r="N46" s="82"/>
      <c r="O46" s="11"/>
      <c r="P46" s="11"/>
      <c r="Q46" s="11"/>
      <c r="R46" s="11"/>
    </row>
    <row r="47" spans="1:18" ht="20.25">
      <c r="A47" s="395" t="s">
        <v>425</v>
      </c>
      <c r="B47" s="59"/>
      <c r="C47" s="186"/>
      <c r="D47" s="396">
        <v>2.3E-2</v>
      </c>
      <c r="E47" s="401">
        <v>2.1000000000000001E-2</v>
      </c>
      <c r="F47" s="396">
        <f t="shared" si="0"/>
        <v>4.3999999999999997E-2</v>
      </c>
      <c r="H47" s="11"/>
      <c r="I47" s="11"/>
      <c r="J47" s="451"/>
      <c r="K47" s="448"/>
      <c r="L47" s="82"/>
      <c r="M47" s="82"/>
      <c r="N47" s="82"/>
      <c r="O47" s="11"/>
      <c r="P47" s="11"/>
      <c r="Q47" s="11"/>
      <c r="R47" s="11"/>
    </row>
    <row r="48" spans="1:18" ht="20.25">
      <c r="A48" s="395" t="s">
        <v>426</v>
      </c>
      <c r="B48" s="59"/>
      <c r="C48" s="186"/>
      <c r="D48" s="397" t="s">
        <v>489</v>
      </c>
      <c r="E48" s="401">
        <v>2.1999999999999999E-2</v>
      </c>
      <c r="F48" s="397" t="s">
        <v>489</v>
      </c>
      <c r="H48" s="11"/>
      <c r="I48" s="11"/>
      <c r="J48" s="451"/>
      <c r="K48" s="448"/>
      <c r="L48" s="82"/>
      <c r="M48" s="82"/>
      <c r="N48" s="82"/>
      <c r="O48" s="11"/>
      <c r="P48" s="11"/>
      <c r="Q48" s="11"/>
      <c r="R48" s="11"/>
    </row>
    <row r="49" spans="1:18" ht="20.25">
      <c r="A49" s="398" t="s">
        <v>427</v>
      </c>
      <c r="B49" s="153"/>
      <c r="C49" s="187"/>
      <c r="D49" s="399">
        <v>0.02</v>
      </c>
      <c r="E49" s="399">
        <v>1.7999999999999999E-2</v>
      </c>
      <c r="F49" s="399">
        <f t="shared" si="0"/>
        <v>3.7999999999999999E-2</v>
      </c>
      <c r="H49" s="11"/>
      <c r="I49" s="11"/>
      <c r="J49" s="451"/>
      <c r="K49" s="452"/>
      <c r="L49" s="82"/>
      <c r="M49" s="82"/>
      <c r="N49" s="82"/>
      <c r="O49" s="11"/>
      <c r="P49" s="11"/>
      <c r="Q49" s="11"/>
      <c r="R49" s="11"/>
    </row>
    <row r="50" spans="1:18" ht="20.25">
      <c r="A50" s="102"/>
      <c r="B50" s="112"/>
      <c r="C50" s="112" t="s">
        <v>45</v>
      </c>
      <c r="D50" s="403">
        <f>MAX(D38:D49)</f>
        <v>2.4199999999999999E-2</v>
      </c>
      <c r="E50" s="403">
        <f>MAX(E38:E49)</f>
        <v>2.1999999999999999E-2</v>
      </c>
      <c r="F50" s="403">
        <f>MAX(F38:F49)</f>
        <v>4.4400000000000002E-2</v>
      </c>
      <c r="G50" s="231"/>
      <c r="H50" s="11"/>
      <c r="I50" s="11"/>
      <c r="L50" s="11"/>
      <c r="M50" s="11"/>
      <c r="N50" s="11"/>
      <c r="Q50" s="11"/>
      <c r="R50" s="11"/>
    </row>
    <row r="51" spans="1:18" ht="18.75" customHeight="1">
      <c r="A51" s="102"/>
      <c r="B51" s="112"/>
      <c r="C51" s="112" t="s">
        <v>46</v>
      </c>
      <c r="D51" s="403">
        <f>MIN(D38:D49)</f>
        <v>0.02</v>
      </c>
      <c r="E51" s="403">
        <f>MIN(E38:E49)</f>
        <v>1.7999999999999999E-2</v>
      </c>
      <c r="F51" s="404">
        <f>MIN(F38:F49)</f>
        <v>3.7999999999999999E-2</v>
      </c>
      <c r="G51" s="232"/>
      <c r="H51" s="11"/>
      <c r="I51" s="11"/>
      <c r="L51" s="11"/>
      <c r="M51" s="11"/>
      <c r="N51" s="11"/>
      <c r="O51" s="11"/>
      <c r="R51" s="11"/>
    </row>
    <row r="52" spans="1:18" ht="20.25">
      <c r="A52" s="102"/>
      <c r="B52" s="112"/>
      <c r="C52" s="112" t="s">
        <v>18</v>
      </c>
      <c r="D52" s="405">
        <f>MEDIAN(D38:D49)</f>
        <v>2.3E-2</v>
      </c>
      <c r="E52" s="405">
        <f>MEDIAN(E38:E49)</f>
        <v>2.01E-2</v>
      </c>
      <c r="F52" s="396">
        <f t="shared" ref="F52:F53" si="1">+D52+E52</f>
        <v>4.3099999999999999E-2</v>
      </c>
      <c r="G52" s="232"/>
      <c r="H52" s="11"/>
      <c r="I52" s="11"/>
      <c r="L52" s="11"/>
      <c r="M52" s="11"/>
      <c r="N52" s="11"/>
      <c r="O52" s="11"/>
      <c r="R52" s="11"/>
    </row>
    <row r="53" spans="1:18" ht="20.25">
      <c r="A53" s="102"/>
      <c r="B53" s="112"/>
      <c r="C53" s="112" t="s">
        <v>19</v>
      </c>
      <c r="D53" s="402">
        <f>AVERAGE(D38:D49)</f>
        <v>2.2845454545454544E-2</v>
      </c>
      <c r="E53" s="402">
        <f>AVERAGE(E38:E49)</f>
        <v>2.0011111111111108E-2</v>
      </c>
      <c r="F53" s="399">
        <f t="shared" si="1"/>
        <v>4.2856565656565648E-2</v>
      </c>
      <c r="G53" s="231"/>
      <c r="H53" s="11"/>
      <c r="I53" s="11"/>
      <c r="L53" s="11"/>
      <c r="M53" s="11"/>
      <c r="N53" s="11"/>
      <c r="O53" s="11"/>
      <c r="R53" s="11"/>
    </row>
    <row r="54" spans="1:18" ht="18.75">
      <c r="A54" s="11"/>
      <c r="B54" s="13"/>
      <c r="D54" s="199"/>
      <c r="E54" s="199"/>
      <c r="F54" s="199"/>
      <c r="G54" s="231"/>
      <c r="H54" s="11"/>
      <c r="I54" s="11"/>
      <c r="L54" s="11"/>
      <c r="M54" s="11"/>
      <c r="N54" s="11"/>
      <c r="O54" s="11"/>
    </row>
    <row r="55" spans="1:18" ht="16.5" customHeight="1" thickBot="1">
      <c r="A55" s="11"/>
      <c r="B55" s="13"/>
      <c r="D55" s="199"/>
      <c r="E55" s="199"/>
      <c r="F55" s="199"/>
      <c r="L55" s="11"/>
      <c r="M55" s="11"/>
      <c r="N55" s="11"/>
      <c r="O55" s="11"/>
    </row>
    <row r="56" spans="1:18" ht="27" thickBot="1">
      <c r="A56" s="11"/>
      <c r="B56" s="118"/>
      <c r="C56" s="46" t="s">
        <v>203</v>
      </c>
      <c r="D56" s="440">
        <v>2.2800000000000001E-2</v>
      </c>
      <c r="E56" s="440">
        <v>0.02</v>
      </c>
      <c r="F56" s="453">
        <v>4.2900000000000001E-2</v>
      </c>
      <c r="L56" s="11"/>
      <c r="M56" s="11"/>
      <c r="N56" s="11"/>
      <c r="O56" s="11"/>
    </row>
    <row r="57" spans="1:18" ht="16.5" customHeight="1">
      <c r="L57" s="11"/>
      <c r="N57" s="11"/>
    </row>
    <row r="58" spans="1:18" ht="16.5">
      <c r="A58" s="11"/>
      <c r="B58" s="11"/>
      <c r="C58" s="11"/>
      <c r="D58" s="11"/>
      <c r="E58" s="11"/>
      <c r="F58" s="11"/>
      <c r="G58" s="11"/>
      <c r="I58" s="11"/>
      <c r="L58" s="11"/>
      <c r="N58" s="11"/>
    </row>
    <row r="59" spans="1:18" ht="19.5" customHeight="1">
      <c r="A59" s="406" t="s">
        <v>428</v>
      </c>
      <c r="B59" s="407"/>
      <c r="C59" s="408"/>
      <c r="D59" s="11"/>
      <c r="E59" s="11"/>
      <c r="F59" s="11"/>
      <c r="I59" s="11"/>
      <c r="L59" s="11"/>
      <c r="M59" s="11"/>
      <c r="N59" s="11"/>
    </row>
    <row r="60" spans="1:18" ht="19.5" customHeight="1">
      <c r="A60" s="406" t="s">
        <v>490</v>
      </c>
      <c r="B60" s="407"/>
      <c r="C60" s="407"/>
      <c r="D60" s="407"/>
      <c r="E60" s="407"/>
      <c r="F60" s="407"/>
      <c r="G60" s="409"/>
      <c r="I60" s="11"/>
      <c r="L60" s="11"/>
      <c r="M60" s="11"/>
      <c r="N60" s="11"/>
    </row>
    <row r="61" spans="1:18" ht="19.5" customHeight="1">
      <c r="A61" s="410" t="s">
        <v>491</v>
      </c>
      <c r="B61" s="11"/>
      <c r="C61" s="11"/>
      <c r="D61" s="11"/>
      <c r="E61" s="11"/>
      <c r="F61" s="11"/>
      <c r="G61" s="411"/>
      <c r="I61" s="11"/>
      <c r="L61" s="11"/>
      <c r="M61" s="11"/>
      <c r="N61" s="11"/>
      <c r="O61" s="454"/>
    </row>
    <row r="62" spans="1:18" ht="19.5" customHeight="1">
      <c r="A62" s="410" t="s">
        <v>492</v>
      </c>
      <c r="B62" s="11"/>
      <c r="C62" s="11"/>
      <c r="D62" s="11"/>
      <c r="E62" s="11"/>
      <c r="F62" s="11"/>
      <c r="G62" s="411"/>
      <c r="I62" s="11"/>
      <c r="L62" s="11"/>
      <c r="M62" s="11"/>
      <c r="N62" s="11"/>
      <c r="O62" s="454"/>
      <c r="P62" s="82"/>
      <c r="Q62" s="11"/>
      <c r="R62" s="11"/>
    </row>
    <row r="63" spans="1:18" ht="19.5" customHeight="1">
      <c r="A63" s="412" t="s">
        <v>493</v>
      </c>
      <c r="B63" s="413"/>
      <c r="C63" s="413"/>
      <c r="D63" s="413"/>
      <c r="E63" s="413"/>
      <c r="F63" s="413"/>
      <c r="G63" s="414"/>
      <c r="I63" s="11"/>
      <c r="L63" s="11"/>
      <c r="M63" s="11"/>
      <c r="N63" s="11"/>
      <c r="O63" s="454"/>
      <c r="P63" s="82"/>
      <c r="Q63" s="11"/>
      <c r="R63" s="11"/>
    </row>
    <row r="64" spans="1:18" ht="17.25">
      <c r="A64" s="102"/>
      <c r="B64" s="11"/>
      <c r="C64" s="11"/>
      <c r="D64" s="11"/>
      <c r="E64" s="11"/>
      <c r="F64" s="11"/>
      <c r="I64" s="11"/>
      <c r="L64" s="11"/>
      <c r="M64" s="11"/>
      <c r="N64" s="11"/>
      <c r="O64" s="11"/>
      <c r="P64" s="11"/>
      <c r="Q64" s="11"/>
      <c r="R64" s="11"/>
    </row>
    <row r="65" spans="1:18" ht="15.6" customHeight="1">
      <c r="A65" s="415" t="s">
        <v>244</v>
      </c>
      <c r="B65" s="416"/>
      <c r="C65" s="407"/>
      <c r="D65" s="407"/>
      <c r="E65" s="407"/>
      <c r="F65" s="408"/>
      <c r="G65" s="11"/>
      <c r="I65" s="11"/>
      <c r="L65" s="11"/>
      <c r="M65" s="11"/>
      <c r="N65" s="11"/>
      <c r="O65" s="11"/>
      <c r="P65" s="11"/>
      <c r="Q65" s="11"/>
      <c r="R65" s="11"/>
    </row>
    <row r="66" spans="1:18" ht="15.6" customHeight="1">
      <c r="A66" s="152" t="s">
        <v>429</v>
      </c>
      <c r="B66" s="11"/>
      <c r="C66" s="11"/>
      <c r="E66" s="11"/>
      <c r="F66" s="309"/>
      <c r="G66" s="11"/>
      <c r="I66" s="11"/>
      <c r="L66" s="11"/>
      <c r="M66" s="11"/>
      <c r="N66" s="11"/>
      <c r="O66" s="11"/>
      <c r="P66" s="11"/>
      <c r="Q66" s="11"/>
      <c r="R66" s="11"/>
    </row>
    <row r="67" spans="1:18" ht="15.6" customHeight="1">
      <c r="A67" s="417" t="s">
        <v>245</v>
      </c>
      <c r="B67" s="413"/>
      <c r="C67" s="413"/>
      <c r="D67" s="413"/>
      <c r="E67" s="413"/>
      <c r="F67" s="291"/>
      <c r="G67" s="11"/>
      <c r="I67" s="11" t="s">
        <v>0</v>
      </c>
      <c r="L67" s="11"/>
      <c r="M67" s="11"/>
      <c r="N67" s="11"/>
      <c r="O67" s="11"/>
      <c r="P67" s="11"/>
      <c r="Q67" s="11"/>
      <c r="R67" s="11"/>
    </row>
    <row r="68" spans="1:18" ht="16.5">
      <c r="A68" s="359"/>
      <c r="B68" s="11"/>
      <c r="C68" s="11"/>
      <c r="D68" s="11"/>
      <c r="E68" s="11"/>
      <c r="F68" s="11"/>
      <c r="G68" s="11"/>
      <c r="I68" s="11"/>
      <c r="L68" s="11"/>
      <c r="M68" s="11"/>
      <c r="N68" s="11"/>
      <c r="O68" s="11"/>
      <c r="P68" s="11"/>
      <c r="Q68" s="11"/>
      <c r="R68" s="11"/>
    </row>
    <row r="69" spans="1:18" ht="17.25">
      <c r="A69" s="132" t="s">
        <v>430</v>
      </c>
      <c r="B69" s="120"/>
      <c r="C69" s="120"/>
      <c r="D69" s="120"/>
      <c r="E69" s="121"/>
      <c r="F69" s="120"/>
      <c r="G69" s="120"/>
      <c r="H69" s="120"/>
      <c r="I69" s="11"/>
      <c r="L69" s="11"/>
      <c r="M69" s="11"/>
      <c r="N69" s="11"/>
      <c r="O69" s="11"/>
      <c r="P69" s="11"/>
      <c r="Q69" s="11"/>
      <c r="R69" s="11"/>
    </row>
    <row r="70" spans="1:18" ht="17.25">
      <c r="A70" s="132"/>
      <c r="B70" s="120"/>
      <c r="C70" s="120"/>
      <c r="D70" s="120"/>
      <c r="E70" s="121"/>
      <c r="F70" s="120"/>
      <c r="G70" s="120"/>
      <c r="H70" s="120"/>
      <c r="I70" s="11"/>
      <c r="J70" s="11"/>
      <c r="K70" s="11"/>
      <c r="L70" s="11"/>
      <c r="M70" s="11"/>
      <c r="N70" s="11"/>
      <c r="O70" s="11"/>
      <c r="P70" s="11"/>
      <c r="Q70" s="11"/>
      <c r="R70" s="11"/>
    </row>
    <row r="71" spans="1:18" ht="16.5">
      <c r="A71" s="418" t="s">
        <v>431</v>
      </c>
      <c r="B71" s="120"/>
      <c r="C71" s="120"/>
      <c r="D71" s="120"/>
      <c r="E71" s="121"/>
      <c r="F71" s="120"/>
      <c r="G71" s="120"/>
      <c r="H71" s="120"/>
      <c r="I71" s="11"/>
    </row>
    <row r="72" spans="1:18" ht="16.5">
      <c r="A72" s="419" t="s">
        <v>494</v>
      </c>
      <c r="B72" s="120"/>
      <c r="C72" s="120"/>
      <c r="D72" s="120"/>
      <c r="E72" s="121"/>
      <c r="F72" s="120"/>
      <c r="G72" s="120"/>
      <c r="H72" s="120"/>
      <c r="I72" s="11"/>
    </row>
    <row r="73" spans="1:18" ht="16.5">
      <c r="A73" s="135" t="s">
        <v>359</v>
      </c>
      <c r="B73" s="421"/>
      <c r="C73" s="120"/>
      <c r="D73" s="120"/>
      <c r="E73" s="121"/>
      <c r="F73" s="120"/>
      <c r="G73" s="120"/>
      <c r="H73" s="120"/>
      <c r="I73" s="11"/>
    </row>
    <row r="74" spans="1:18" ht="16.5">
      <c r="A74" s="135" t="s">
        <v>499</v>
      </c>
      <c r="B74" s="120"/>
      <c r="C74" s="120"/>
      <c r="D74" s="120"/>
      <c r="E74" s="121"/>
      <c r="F74" s="120"/>
      <c r="G74" s="120"/>
      <c r="H74" s="120"/>
      <c r="I74" s="11"/>
    </row>
    <row r="75" spans="1:18">
      <c r="A75" s="135"/>
    </row>
    <row r="76" spans="1:18" ht="16.5">
      <c r="A76" s="418" t="s">
        <v>432</v>
      </c>
    </row>
    <row r="77" spans="1:18">
      <c r="A77" s="422" t="s">
        <v>479</v>
      </c>
    </row>
    <row r="78" spans="1:18" ht="16.5">
      <c r="A78" s="422" t="s">
        <v>480</v>
      </c>
      <c r="B78" s="374"/>
    </row>
    <row r="79" spans="1:18" ht="16.5">
      <c r="A79" s="466" t="s">
        <v>139</v>
      </c>
      <c r="B79" s="120"/>
      <c r="C79" s="120"/>
      <c r="D79" s="120"/>
      <c r="E79" s="121"/>
      <c r="F79" s="120"/>
      <c r="G79" s="120"/>
      <c r="H79" s="120"/>
      <c r="I79" s="11"/>
    </row>
    <row r="80" spans="1:18" ht="16.5">
      <c r="A80" s="119"/>
      <c r="B80" s="120"/>
      <c r="C80" s="120"/>
      <c r="D80" s="120"/>
      <c r="E80" s="121"/>
      <c r="F80" s="120"/>
      <c r="G80" s="120"/>
      <c r="H80" s="120"/>
      <c r="I80" s="11"/>
    </row>
    <row r="81" spans="1:9" ht="16.5">
      <c r="A81" s="418" t="s">
        <v>433</v>
      </c>
      <c r="B81" s="120"/>
      <c r="C81" s="120"/>
      <c r="D81" s="120"/>
      <c r="E81" s="121"/>
      <c r="F81" s="120"/>
      <c r="G81" s="120"/>
      <c r="H81" s="120"/>
      <c r="I81" s="11"/>
    </row>
    <row r="82" spans="1:9" ht="16.5">
      <c r="A82" s="422" t="s">
        <v>472</v>
      </c>
      <c r="B82" s="421"/>
      <c r="C82" s="421"/>
      <c r="D82" s="120"/>
      <c r="E82" s="121"/>
      <c r="F82" s="120"/>
      <c r="G82" s="120"/>
      <c r="H82" s="120"/>
      <c r="I82" s="11"/>
    </row>
    <row r="83" spans="1:9" ht="16.5">
      <c r="A83" s="466" t="s">
        <v>140</v>
      </c>
      <c r="B83" s="120"/>
      <c r="C83" s="120"/>
      <c r="D83" s="120"/>
      <c r="E83" s="121"/>
      <c r="F83" s="120"/>
      <c r="G83" s="120"/>
      <c r="H83" s="120"/>
      <c r="I83" s="11"/>
    </row>
    <row r="84" spans="1:9" ht="16.5">
      <c r="A84" s="135"/>
      <c r="B84" s="120"/>
      <c r="C84" s="120"/>
      <c r="D84" s="120"/>
      <c r="E84" s="121"/>
      <c r="F84" s="120"/>
      <c r="G84" s="120"/>
      <c r="H84" s="120"/>
      <c r="I84" s="11"/>
    </row>
    <row r="85" spans="1:9" ht="16.5">
      <c r="A85" s="418" t="s">
        <v>434</v>
      </c>
      <c r="B85" s="120"/>
      <c r="D85" s="120" t="s">
        <v>0</v>
      </c>
      <c r="E85" s="121"/>
      <c r="F85" s="120"/>
      <c r="G85" s="120"/>
      <c r="H85" s="120"/>
      <c r="I85" s="11"/>
    </row>
    <row r="86" spans="1:9" ht="16.5">
      <c r="A86" s="425" t="s">
        <v>473</v>
      </c>
      <c r="G86" s="120"/>
      <c r="H86" s="120"/>
      <c r="I86" s="120"/>
    </row>
    <row r="87" spans="1:9" ht="16.5">
      <c r="A87" s="420" t="s">
        <v>435</v>
      </c>
      <c r="C87" s="120"/>
      <c r="E87" s="121"/>
      <c r="F87" s="120"/>
      <c r="G87" s="120"/>
      <c r="H87" s="120"/>
      <c r="I87" s="11"/>
    </row>
    <row r="88" spans="1:9" ht="16.5">
      <c r="A88" s="424" t="s">
        <v>474</v>
      </c>
      <c r="B88" s="424"/>
      <c r="C88" s="120"/>
      <c r="D88" s="424"/>
      <c r="E88" s="121"/>
      <c r="F88" s="120"/>
      <c r="G88" s="120"/>
      <c r="H88" s="120"/>
      <c r="I88" s="11"/>
    </row>
    <row r="89" spans="1:9" ht="16.5">
      <c r="A89" s="466" t="s">
        <v>475</v>
      </c>
      <c r="B89" s="424"/>
      <c r="C89" s="120"/>
      <c r="D89" s="424"/>
      <c r="E89" s="121"/>
      <c r="F89" s="120"/>
      <c r="G89" s="120"/>
      <c r="H89" s="120"/>
      <c r="I89" s="11"/>
    </row>
    <row r="90" spans="1:9" ht="16.5">
      <c r="A90" s="466" t="s">
        <v>436</v>
      </c>
      <c r="B90" s="120"/>
      <c r="C90" s="120"/>
      <c r="D90" s="120"/>
      <c r="E90" s="121"/>
      <c r="F90" s="120"/>
      <c r="G90" s="120"/>
      <c r="H90" s="120"/>
      <c r="I90" s="11"/>
    </row>
    <row r="91" spans="1:9" ht="16.5">
      <c r="A91" s="135"/>
      <c r="B91" s="120"/>
      <c r="D91" s="120"/>
      <c r="E91" s="121"/>
      <c r="F91" s="120"/>
      <c r="G91" s="120"/>
      <c r="H91" s="120"/>
      <c r="I91" s="11"/>
    </row>
    <row r="92" spans="1:9" ht="16.5">
      <c r="A92" s="418" t="s">
        <v>437</v>
      </c>
      <c r="B92" s="120"/>
      <c r="D92" s="120"/>
      <c r="E92" s="121"/>
      <c r="F92" s="120"/>
      <c r="G92" s="120"/>
      <c r="H92" s="120"/>
      <c r="I92" s="11"/>
    </row>
    <row r="93" spans="1:9" ht="16.5">
      <c r="A93" s="422" t="s">
        <v>476</v>
      </c>
      <c r="B93" s="120"/>
      <c r="D93" s="120"/>
      <c r="E93" s="121"/>
      <c r="F93" s="120"/>
      <c r="G93" s="120"/>
      <c r="H93" s="120"/>
      <c r="I93" s="11"/>
    </row>
    <row r="94" spans="1:9" ht="16.5">
      <c r="A94" s="466" t="s">
        <v>438</v>
      </c>
      <c r="B94" s="120"/>
      <c r="C94" s="120"/>
      <c r="D94" s="120"/>
      <c r="E94" s="121"/>
      <c r="F94" s="120"/>
      <c r="G94" s="120"/>
      <c r="H94" s="120"/>
      <c r="I94" s="11"/>
    </row>
    <row r="95" spans="1:9" ht="16.5">
      <c r="A95" s="423"/>
      <c r="C95" s="120"/>
      <c r="D95" s="120"/>
      <c r="E95" s="121"/>
      <c r="F95" s="120"/>
      <c r="G95" s="120"/>
      <c r="H95" s="120"/>
      <c r="I95" s="11"/>
    </row>
    <row r="96" spans="1:9" ht="16.5">
      <c r="A96" s="418" t="s">
        <v>439</v>
      </c>
      <c r="B96" s="120"/>
      <c r="C96" s="120"/>
      <c r="D96" s="120"/>
      <c r="E96" s="121"/>
      <c r="F96" s="120"/>
      <c r="G96" s="120"/>
      <c r="H96" s="120"/>
      <c r="I96" s="11"/>
    </row>
    <row r="97" spans="1:9" ht="16.5">
      <c r="A97" s="426" t="s">
        <v>481</v>
      </c>
      <c r="B97" s="120"/>
      <c r="C97" s="120"/>
      <c r="D97" s="120"/>
      <c r="E97" s="121"/>
      <c r="F97" s="120"/>
      <c r="G97" s="120"/>
      <c r="H97" s="120"/>
      <c r="I97" s="11"/>
    </row>
    <row r="98" spans="1:9" ht="16.5">
      <c r="A98" s="427" t="s">
        <v>440</v>
      </c>
      <c r="B98" s="428"/>
      <c r="C98" s="120"/>
      <c r="D98" s="120"/>
      <c r="E98" s="121"/>
      <c r="F98" s="120"/>
      <c r="G98" s="120"/>
      <c r="H98" s="120"/>
      <c r="I98" s="11"/>
    </row>
    <row r="99" spans="1:9" ht="16.5">
      <c r="A99" s="466" t="s">
        <v>441</v>
      </c>
      <c r="B99" s="120"/>
      <c r="C99" s="120"/>
      <c r="D99" s="120"/>
      <c r="E99" s="121"/>
      <c r="F99" s="120"/>
      <c r="G99" s="120"/>
      <c r="H99" s="120"/>
      <c r="I99" s="11"/>
    </row>
    <row r="100" spans="1:9" ht="16.5">
      <c r="A100" s="429"/>
      <c r="B100" s="120"/>
      <c r="C100" s="120"/>
      <c r="D100" s="120"/>
      <c r="E100" s="121"/>
      <c r="F100" s="120"/>
      <c r="G100" s="120"/>
      <c r="H100" s="120"/>
      <c r="I100" s="11"/>
    </row>
    <row r="101" spans="1:9" ht="16.5">
      <c r="A101" s="418" t="s">
        <v>442</v>
      </c>
      <c r="B101" s="120"/>
      <c r="C101" s="120"/>
      <c r="D101" s="120"/>
      <c r="E101" s="121"/>
      <c r="F101" s="120"/>
      <c r="G101" s="120"/>
      <c r="H101" s="120"/>
      <c r="I101" s="11"/>
    </row>
    <row r="102" spans="1:9" ht="16.5">
      <c r="A102" s="426" t="s">
        <v>481</v>
      </c>
      <c r="B102" s="120"/>
      <c r="C102" s="120"/>
      <c r="D102" s="120"/>
      <c r="E102" s="121"/>
      <c r="F102" s="120"/>
      <c r="G102" s="120"/>
      <c r="H102" s="120"/>
      <c r="I102" s="11"/>
    </row>
    <row r="103" spans="1:9" ht="16.5">
      <c r="A103" s="427" t="s">
        <v>495</v>
      </c>
      <c r="B103" s="120"/>
      <c r="C103" s="120"/>
      <c r="D103" s="120"/>
      <c r="E103" s="121"/>
      <c r="F103" s="120"/>
      <c r="G103" s="120"/>
      <c r="H103" s="120"/>
      <c r="I103" s="11"/>
    </row>
    <row r="104" spans="1:9" ht="16.5">
      <c r="A104" s="424" t="s">
        <v>482</v>
      </c>
      <c r="B104" s="120"/>
      <c r="C104" s="120"/>
      <c r="D104" s="120"/>
      <c r="E104" s="121"/>
      <c r="F104" s="120"/>
      <c r="G104" s="120"/>
      <c r="H104" s="120"/>
      <c r="I104" s="11"/>
    </row>
    <row r="105" spans="1:9">
      <c r="A105" s="429"/>
    </row>
    <row r="106" spans="1:9" ht="16.5">
      <c r="A106" s="375" t="s">
        <v>498</v>
      </c>
    </row>
    <row r="107" spans="1:9" ht="16.5">
      <c r="A107" s="424" t="s">
        <v>452</v>
      </c>
    </row>
    <row r="108" spans="1:9">
      <c r="A108" s="466" t="s">
        <v>498</v>
      </c>
    </row>
  </sheetData>
  <hyperlinks>
    <hyperlink ref="A73" r:id="rId1" xr:uid="{1E9F0BF0-7E20-4CB7-9BF0-75F382E04CE6}"/>
    <hyperlink ref="A79" r:id="rId2" xr:uid="{C3D6087F-D990-4322-8B2C-3DC336083719}"/>
    <hyperlink ref="A83" r:id="rId3" xr:uid="{75E00FC3-ABBF-42CC-A8AF-6029CB00A8AE}"/>
    <hyperlink ref="A94" r:id="rId4" xr:uid="{63BD5AB0-3EBB-4021-BA76-748DE81552C4}"/>
    <hyperlink ref="A99" r:id="rId5" xr:uid="{D99F572F-4581-4708-B6D6-9659D2AE2C50}"/>
    <hyperlink ref="A104" r:id="rId6" display="https://www.federalreserve.gov/monetarypolicy/files/fomcprojtabl20241218.pd" xr:uid="{14ECB232-68B8-4192-BF56-EEE962AC49DF}"/>
    <hyperlink ref="A89" r:id="rId7" xr:uid="{8978F533-BD59-48B7-840E-12A94D0BE75F}"/>
    <hyperlink ref="A88" r:id="rId8" display="https://www.cbo.gov/system/files/2025-01/60870-Outlook-2025.pdf" xr:uid="{6C9B03A6-803C-4EA0-B321-03EFED0014A8}"/>
    <hyperlink ref="A90" r:id="rId9" xr:uid="{0AB3EC72-F333-4D3D-A0B7-1628C3C9C474}"/>
    <hyperlink ref="A87" r:id="rId10" location="4" display="https://www.cbo.gov/data/budget-economic-data - 4" xr:uid="{1C466CCD-FF78-4A39-B852-FE6B8005E02F}"/>
    <hyperlink ref="A67" r:id="rId11" xr:uid="{B50987B3-6BC5-43A3-9649-56C92D7915EC}"/>
    <hyperlink ref="A107" r:id="rId12" xr:uid="{5D210B3E-FE29-4391-A00C-DCD2F55C99C5}"/>
    <hyperlink ref="A108" r:id="rId13" xr:uid="{F1F227D9-0AFD-4781-90DD-D60895B7835C}"/>
    <hyperlink ref="A74" r:id="rId14" xr:uid="{6802A43C-0D09-4D89-9C46-4A94796903A4}"/>
  </hyperlinks>
  <pageMargins left="0.25" right="0.25" top="0.75" bottom="0.75" header="0.3" footer="0.3"/>
  <pageSetup scale="27" fitToWidth="0" orientation="portrait" r:id="rId1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9498D-AEA4-474E-9B94-E2A31EACF33D}">
  <sheetPr>
    <tabColor rgb="FF92D050"/>
    <pageSetUpPr fitToPage="1"/>
  </sheetPr>
  <dimension ref="A1:I108"/>
  <sheetViews>
    <sheetView view="pageBreakPreview" topLeftCell="A29" zoomScale="70" zoomScaleNormal="80" zoomScaleSheetLayoutView="70" workbookViewId="0">
      <selection activeCell="D53" sqref="D53"/>
    </sheetView>
  </sheetViews>
  <sheetFormatPr defaultRowHeight="15"/>
  <cols>
    <col min="1" max="1" width="45.7109375" customWidth="1"/>
    <col min="2" max="2" width="15" customWidth="1"/>
    <col min="3" max="3" width="72.140625" customWidth="1"/>
    <col min="4" max="4" width="34.5703125" customWidth="1"/>
    <col min="5" max="5" width="21.7109375" customWidth="1"/>
    <col min="6" max="6" width="16.140625" customWidth="1"/>
    <col min="7" max="7" width="24.85546875" customWidth="1"/>
    <col min="8" max="8" width="18" customWidth="1"/>
    <col min="9" max="9" width="20.85546875" customWidth="1"/>
    <col min="10" max="10" width="19" customWidth="1"/>
    <col min="11" max="11" width="17.28515625" customWidth="1"/>
    <col min="12" max="12" width="24.140625" customWidth="1"/>
  </cols>
  <sheetData>
    <row r="1" spans="1:9" ht="26.25">
      <c r="A1" s="22" t="s">
        <v>1</v>
      </c>
      <c r="B1" s="11"/>
      <c r="C1" s="11"/>
      <c r="D1" s="11"/>
      <c r="E1" s="11"/>
      <c r="F1" s="11"/>
      <c r="G1" s="11"/>
      <c r="H1" s="11"/>
      <c r="I1" s="11"/>
    </row>
    <row r="2" spans="1:9" ht="17.25">
      <c r="A2" s="59" t="s">
        <v>9</v>
      </c>
      <c r="B2" s="11"/>
      <c r="C2" s="11"/>
      <c r="D2" s="11"/>
      <c r="E2" s="11"/>
      <c r="F2" s="11"/>
      <c r="G2" s="11"/>
      <c r="H2" s="11"/>
      <c r="I2" s="11"/>
    </row>
    <row r="3" spans="1:9" ht="16.5">
      <c r="A3" s="24" t="s">
        <v>465</v>
      </c>
      <c r="B3" s="11"/>
      <c r="C3" s="11"/>
      <c r="D3" s="11"/>
      <c r="E3" s="11"/>
      <c r="F3" s="11"/>
      <c r="G3" s="11"/>
      <c r="H3" s="11"/>
      <c r="I3" s="11"/>
    </row>
    <row r="4" spans="1:9" ht="16.5">
      <c r="A4" s="11"/>
      <c r="B4" s="11"/>
      <c r="C4" s="11"/>
      <c r="D4" s="11"/>
      <c r="E4" s="11"/>
      <c r="F4" s="11"/>
      <c r="G4" s="11"/>
      <c r="H4" s="11"/>
      <c r="I4" s="11"/>
    </row>
    <row r="5" spans="1:9" ht="18" thickBot="1">
      <c r="A5" s="59"/>
      <c r="B5" s="11"/>
      <c r="C5" s="11"/>
      <c r="D5" s="11"/>
      <c r="E5" s="11"/>
      <c r="F5" s="11"/>
      <c r="G5" s="11"/>
      <c r="H5" s="11"/>
      <c r="I5" s="11"/>
    </row>
    <row r="6" spans="1:9" ht="21" thickBot="1">
      <c r="A6" s="234" t="str">
        <f>+'S&amp;D'!A12</f>
        <v>Natural Gas Transmission Pipeline Carrier</v>
      </c>
      <c r="B6" s="170"/>
      <c r="C6" s="11"/>
      <c r="D6" s="11"/>
      <c r="E6" s="11"/>
      <c r="F6" s="11"/>
      <c r="G6" s="11"/>
      <c r="H6" s="11"/>
      <c r="I6" s="11"/>
    </row>
    <row r="7" spans="1:9" ht="20.25">
      <c r="A7" s="28"/>
      <c r="B7" s="11"/>
      <c r="C7" s="11"/>
      <c r="D7" s="11"/>
      <c r="E7" s="11"/>
      <c r="F7" s="11"/>
      <c r="G7" s="11"/>
      <c r="H7" s="11"/>
      <c r="I7" s="11"/>
    </row>
    <row r="8" spans="1:9" ht="18" thickBot="1">
      <c r="A8" s="59"/>
      <c r="B8" s="11"/>
      <c r="C8" s="27"/>
      <c r="E8" s="11"/>
      <c r="F8" s="11"/>
      <c r="G8" s="11"/>
      <c r="H8" s="11"/>
      <c r="I8" s="11"/>
    </row>
    <row r="9" spans="1:9" ht="26.25">
      <c r="B9" s="11"/>
      <c r="C9" s="29" t="s">
        <v>147</v>
      </c>
      <c r="E9" s="11"/>
      <c r="F9" s="11"/>
      <c r="G9" s="11"/>
      <c r="H9" s="11"/>
      <c r="I9" s="11"/>
    </row>
    <row r="10" spans="1:9" ht="21" thickBot="1">
      <c r="A10" s="28"/>
      <c r="B10" s="11"/>
      <c r="C10" s="30" t="s">
        <v>477</v>
      </c>
      <c r="E10" s="11"/>
      <c r="F10" s="11"/>
      <c r="G10" s="11"/>
      <c r="H10" s="11"/>
      <c r="I10" s="11"/>
    </row>
    <row r="11" spans="1:9" ht="20.25">
      <c r="A11" s="28"/>
      <c r="B11" s="11"/>
      <c r="C11" s="11"/>
      <c r="D11" s="11"/>
      <c r="E11" s="11"/>
      <c r="F11" s="11"/>
      <c r="G11" s="11"/>
      <c r="H11" s="11"/>
      <c r="I11" s="11"/>
    </row>
    <row r="12" spans="1:9" ht="17.25" thickBot="1">
      <c r="A12" s="11"/>
      <c r="B12" s="11"/>
      <c r="C12" s="11"/>
      <c r="D12" s="11"/>
      <c r="E12" s="11"/>
      <c r="F12" s="11"/>
      <c r="G12" s="11"/>
      <c r="H12" s="11"/>
      <c r="I12" s="11"/>
    </row>
    <row r="13" spans="1:9" ht="16.5">
      <c r="A13" s="11"/>
      <c r="B13" s="11"/>
      <c r="C13" s="75" t="s">
        <v>0</v>
      </c>
      <c r="D13" s="75" t="s">
        <v>181</v>
      </c>
      <c r="E13" s="11"/>
      <c r="F13" s="11"/>
      <c r="G13" s="11"/>
      <c r="H13" s="11"/>
      <c r="I13" s="11"/>
    </row>
    <row r="14" spans="1:9" ht="21" thickBot="1">
      <c r="A14" s="11"/>
      <c r="B14" s="11"/>
      <c r="C14" s="323" t="s">
        <v>146</v>
      </c>
      <c r="D14" s="77" t="s">
        <v>256</v>
      </c>
      <c r="E14" s="11"/>
      <c r="F14" s="11"/>
      <c r="G14" s="11"/>
      <c r="H14" s="11"/>
      <c r="I14" s="11"/>
    </row>
    <row r="15" spans="1:9" ht="17.25">
      <c r="A15" s="11"/>
      <c r="B15" s="11"/>
      <c r="C15" s="324" t="s">
        <v>383</v>
      </c>
      <c r="D15" s="325">
        <f>+CAPM!F16</f>
        <v>7.6324000000000003E-2</v>
      </c>
      <c r="E15" s="326"/>
      <c r="F15" s="11"/>
      <c r="G15" s="11"/>
      <c r="H15" s="11"/>
      <c r="I15" s="11"/>
    </row>
    <row r="16" spans="1:9" ht="17.25">
      <c r="A16" s="11"/>
      <c r="B16" s="11"/>
      <c r="C16" s="327" t="s">
        <v>384</v>
      </c>
      <c r="D16" s="328">
        <f>+CAPM!F17</f>
        <v>7.6707999999999998E-2</v>
      </c>
      <c r="E16" s="326"/>
      <c r="F16" s="11"/>
      <c r="G16" s="11"/>
      <c r="H16" s="11"/>
      <c r="I16" s="11"/>
    </row>
    <row r="17" spans="1:9" ht="17.25">
      <c r="A17" s="11"/>
      <c r="B17" s="11"/>
      <c r="C17" s="327" t="s">
        <v>400</v>
      </c>
      <c r="D17" s="328">
        <f>+CAPM!F19</f>
        <v>8.8707999999999995E-2</v>
      </c>
      <c r="E17" s="326"/>
      <c r="F17" s="11"/>
      <c r="G17" s="11"/>
      <c r="H17" s="11"/>
      <c r="I17" s="11"/>
    </row>
    <row r="18" spans="1:9" ht="17.25">
      <c r="A18" s="11"/>
      <c r="B18" s="11"/>
      <c r="C18" s="327" t="s">
        <v>414</v>
      </c>
      <c r="D18" s="328">
        <f>+CAPM!F20</f>
        <v>0.107428</v>
      </c>
      <c r="E18" s="326"/>
      <c r="F18" s="11"/>
      <c r="G18" s="11"/>
      <c r="H18" s="11"/>
      <c r="I18" s="11"/>
    </row>
    <row r="19" spans="1:9" ht="17.25">
      <c r="A19" s="11"/>
      <c r="B19" s="11"/>
      <c r="C19" s="327" t="s">
        <v>401</v>
      </c>
      <c r="D19" s="328">
        <f>+CAPM!F21</f>
        <v>8.6115999999999998E-2</v>
      </c>
      <c r="E19" s="326"/>
      <c r="F19" s="11"/>
      <c r="G19" s="11"/>
      <c r="H19" s="11"/>
      <c r="I19" s="11"/>
    </row>
    <row r="20" spans="1:9" ht="17.25">
      <c r="A20" s="11"/>
      <c r="B20" s="11"/>
      <c r="C20" s="327" t="s">
        <v>402</v>
      </c>
      <c r="D20" s="328">
        <f>+CAPM!F22</f>
        <v>8.2851999999999995E-2</v>
      </c>
      <c r="E20" s="326"/>
      <c r="F20" s="11"/>
      <c r="G20" s="11"/>
      <c r="H20" s="11"/>
      <c r="I20" s="11"/>
    </row>
    <row r="21" spans="1:9" ht="17.25">
      <c r="A21" s="11"/>
      <c r="B21" s="11"/>
      <c r="C21" s="327" t="s">
        <v>148</v>
      </c>
      <c r="D21" s="328">
        <f>+CAPM!F24</f>
        <v>0.10195599999999999</v>
      </c>
      <c r="E21" s="326"/>
      <c r="F21" s="11"/>
      <c r="G21" s="11"/>
      <c r="H21" s="11"/>
      <c r="I21" s="11"/>
    </row>
    <row r="22" spans="1:9" ht="17.25">
      <c r="A22" s="11"/>
      <c r="B22" s="11"/>
      <c r="C22" s="327" t="s">
        <v>149</v>
      </c>
      <c r="D22" s="328">
        <f>+CAPM!F26</f>
        <v>0.10089999999999999</v>
      </c>
      <c r="E22" s="326"/>
      <c r="F22" s="11"/>
      <c r="G22" s="11"/>
      <c r="H22" s="11"/>
      <c r="I22" s="11"/>
    </row>
    <row r="23" spans="1:9" ht="17.25">
      <c r="A23" s="11"/>
      <c r="B23" s="11"/>
      <c r="C23" s="327" t="s">
        <v>150</v>
      </c>
      <c r="D23" s="328">
        <f>+CAPM!F28</f>
        <v>0.11318799999999998</v>
      </c>
      <c r="E23" s="358"/>
      <c r="G23" s="11"/>
      <c r="H23" s="11"/>
      <c r="I23" s="11"/>
    </row>
    <row r="24" spans="1:9" ht="17.25">
      <c r="A24" s="11"/>
      <c r="B24" s="11"/>
      <c r="C24" s="327" t="s">
        <v>151</v>
      </c>
      <c r="D24" s="328">
        <f>+CAPM!F29</f>
        <v>0.10128399999999999</v>
      </c>
      <c r="E24" s="358"/>
      <c r="G24" s="11"/>
      <c r="H24" s="11"/>
      <c r="I24" s="11"/>
    </row>
    <row r="25" spans="1:9" ht="17.25">
      <c r="A25" s="11"/>
      <c r="B25" s="11"/>
      <c r="C25" s="329" t="s">
        <v>403</v>
      </c>
      <c r="D25" s="328">
        <f>+CAPM!F31</f>
        <v>0.11885199999999999</v>
      </c>
      <c r="E25" s="358"/>
      <c r="G25" s="11"/>
      <c r="H25" s="11"/>
      <c r="I25" s="11"/>
    </row>
    <row r="26" spans="1:9" ht="17.25">
      <c r="A26" s="11"/>
      <c r="B26" s="11"/>
      <c r="C26" s="329" t="s">
        <v>404</v>
      </c>
      <c r="D26" s="328">
        <f>+CAPM!F32</f>
        <v>0.10867599999999999</v>
      </c>
      <c r="E26" s="358"/>
      <c r="G26" s="11"/>
      <c r="H26" s="11"/>
      <c r="I26" s="11"/>
    </row>
    <row r="27" spans="1:9" ht="17.25">
      <c r="A27" s="11"/>
      <c r="B27" s="11"/>
      <c r="C27" s="329" t="s">
        <v>405</v>
      </c>
      <c r="D27" s="328">
        <f>+CAPM!F33</f>
        <v>9.6099999999999991E-2</v>
      </c>
      <c r="E27" s="330"/>
      <c r="F27" s="11"/>
      <c r="G27" s="11"/>
      <c r="H27" s="11"/>
      <c r="I27" s="11"/>
    </row>
    <row r="28" spans="1:9" ht="17.25">
      <c r="A28" s="11"/>
      <c r="B28" s="11"/>
      <c r="C28" s="343" t="s">
        <v>385</v>
      </c>
      <c r="D28" s="328">
        <f>+CAPM!G42</f>
        <v>7.6617999999999992E-2</v>
      </c>
      <c r="E28" s="326"/>
      <c r="F28" s="11"/>
      <c r="G28" s="11"/>
      <c r="H28" s="11"/>
      <c r="I28" s="11"/>
    </row>
    <row r="29" spans="1:9" ht="17.25">
      <c r="A29" s="11"/>
      <c r="B29" s="11"/>
      <c r="C29" s="327" t="s">
        <v>386</v>
      </c>
      <c r="D29" s="328">
        <f>+CAPM!G43</f>
        <v>7.7005999999999991E-2</v>
      </c>
      <c r="E29" s="326"/>
      <c r="F29" s="11"/>
      <c r="G29" s="11"/>
      <c r="H29" s="11"/>
      <c r="I29" s="11"/>
    </row>
    <row r="30" spans="1:9" ht="17.25">
      <c r="A30" s="11"/>
      <c r="B30" s="11"/>
      <c r="C30" s="327" t="s">
        <v>406</v>
      </c>
      <c r="D30" s="328">
        <f>+CAPM!G45</f>
        <v>8.9130999999999988E-2</v>
      </c>
      <c r="E30" s="326"/>
      <c r="F30" s="11"/>
      <c r="G30" s="11"/>
      <c r="H30" s="11"/>
      <c r="I30" s="11"/>
    </row>
    <row r="31" spans="1:9" ht="17.25">
      <c r="A31" s="11"/>
      <c r="B31" s="11"/>
      <c r="C31" s="327" t="s">
        <v>415</v>
      </c>
      <c r="D31" s="328">
        <f>+CAPM!G46</f>
        <v>0.108046</v>
      </c>
      <c r="E31" s="326"/>
      <c r="F31" s="11"/>
      <c r="G31" s="11"/>
      <c r="H31" s="11"/>
      <c r="I31" s="11"/>
    </row>
    <row r="32" spans="1:9" ht="17.25">
      <c r="A32" s="11"/>
      <c r="B32" s="11"/>
      <c r="C32" s="327" t="s">
        <v>407</v>
      </c>
      <c r="D32" s="328">
        <f>+CAPM!G47</f>
        <v>8.6512000000000006E-2</v>
      </c>
      <c r="E32" s="326"/>
      <c r="F32" s="11"/>
      <c r="G32" s="11"/>
      <c r="H32" s="11"/>
      <c r="I32" s="11"/>
    </row>
    <row r="33" spans="1:9" ht="17.25">
      <c r="A33" s="11"/>
      <c r="B33" s="11"/>
      <c r="C33" s="327" t="s">
        <v>408</v>
      </c>
      <c r="D33" s="328">
        <f>+CAPM!G48</f>
        <v>8.3213999999999996E-2</v>
      </c>
      <c r="E33" s="326"/>
      <c r="F33" s="11"/>
      <c r="G33" s="11"/>
      <c r="H33" s="11"/>
      <c r="I33" s="11"/>
    </row>
    <row r="34" spans="1:9" ht="17.25">
      <c r="A34" s="11"/>
      <c r="B34" s="11"/>
      <c r="C34" s="327" t="s">
        <v>152</v>
      </c>
      <c r="D34" s="328">
        <f>+CAPM!G50</f>
        <v>0.102517</v>
      </c>
      <c r="E34" s="326"/>
      <c r="F34" s="11"/>
      <c r="G34" s="11"/>
      <c r="H34" s="11"/>
      <c r="I34" s="11"/>
    </row>
    <row r="35" spans="1:9" ht="17.25">
      <c r="A35" s="11"/>
      <c r="B35" s="11"/>
      <c r="C35" s="327" t="s">
        <v>153</v>
      </c>
      <c r="D35" s="328">
        <f>+CAPM!G52</f>
        <v>0.10144999999999998</v>
      </c>
      <c r="E35" s="326"/>
      <c r="F35" s="11"/>
      <c r="G35" s="11"/>
      <c r="H35" s="11"/>
      <c r="I35" s="11"/>
    </row>
    <row r="36" spans="1:9" ht="17.25">
      <c r="A36" s="11"/>
      <c r="B36" s="11"/>
      <c r="C36" s="329" t="s">
        <v>154</v>
      </c>
      <c r="D36" s="328">
        <f>+CAPM!G54</f>
        <v>0.11386599999999999</v>
      </c>
      <c r="E36" s="326"/>
      <c r="F36" s="11"/>
      <c r="G36" s="11"/>
      <c r="H36" s="11"/>
      <c r="I36" s="11"/>
    </row>
    <row r="37" spans="1:9" ht="17.25">
      <c r="A37" s="11"/>
      <c r="B37" s="11"/>
      <c r="C37" s="327" t="s">
        <v>155</v>
      </c>
      <c r="D37" s="328">
        <f>+CAPM!G55</f>
        <v>0.10183799999999998</v>
      </c>
      <c r="E37" s="326"/>
      <c r="F37" s="11"/>
      <c r="G37" s="11"/>
      <c r="H37" s="11"/>
      <c r="I37" s="11"/>
    </row>
    <row r="38" spans="1:9" ht="16.5" customHeight="1">
      <c r="A38" s="11"/>
      <c r="B38" s="11"/>
      <c r="C38" s="329" t="s">
        <v>409</v>
      </c>
      <c r="D38" s="328">
        <f>+CAPM!G57</f>
        <v>0.119589</v>
      </c>
      <c r="E38" s="326" t="s">
        <v>0</v>
      </c>
      <c r="F38" s="11"/>
      <c r="G38" s="11"/>
      <c r="H38" s="11"/>
      <c r="I38" s="11"/>
    </row>
    <row r="39" spans="1:9" ht="16.5" customHeight="1">
      <c r="A39" s="11"/>
      <c r="B39" s="11"/>
      <c r="C39" s="329" t="s">
        <v>410</v>
      </c>
      <c r="D39" s="328">
        <f>+CAPM!G58</f>
        <v>0.10930699999999999</v>
      </c>
      <c r="E39" s="326"/>
      <c r="F39" s="11"/>
      <c r="G39" s="11"/>
      <c r="H39" s="11"/>
      <c r="I39" s="11"/>
    </row>
    <row r="40" spans="1:9" ht="18.75" customHeight="1">
      <c r="A40" s="11"/>
      <c r="B40" s="11"/>
      <c r="C40" s="329" t="s">
        <v>411</v>
      </c>
      <c r="D40" s="328">
        <f>+CAPM!G59</f>
        <v>9.6599999999999991E-2</v>
      </c>
      <c r="E40" s="331"/>
      <c r="F40" s="11"/>
      <c r="G40" s="11"/>
      <c r="H40" s="11"/>
      <c r="I40" s="11"/>
    </row>
    <row r="41" spans="1:9" ht="21.75" customHeight="1">
      <c r="A41" s="11"/>
      <c r="B41" s="11"/>
      <c r="C41" s="244" t="s">
        <v>227</v>
      </c>
      <c r="D41" s="342">
        <f>+'Single Stage Div Growth Model'!I30</f>
        <v>9.9500000000000005E-2</v>
      </c>
      <c r="E41" s="358"/>
      <c r="G41" s="11"/>
      <c r="H41" s="11"/>
      <c r="I41" s="11"/>
    </row>
    <row r="42" spans="1:9" ht="21.75" customHeight="1">
      <c r="A42" s="11"/>
      <c r="B42" s="11"/>
      <c r="C42" s="244" t="s">
        <v>226</v>
      </c>
      <c r="D42" s="342">
        <f>+'Single Stage Div Growth Model'!I32</f>
        <v>0.13159999999999999</v>
      </c>
      <c r="E42" s="358"/>
      <c r="G42" s="11"/>
      <c r="H42" s="11"/>
      <c r="I42" s="11"/>
    </row>
    <row r="43" spans="1:9" ht="21.75" customHeight="1">
      <c r="A43" s="11"/>
      <c r="B43" s="11"/>
      <c r="C43" s="332" t="s">
        <v>228</v>
      </c>
      <c r="D43" s="333">
        <f>+'Two-Stage Div Growth Model'!H34</f>
        <v>0.1231</v>
      </c>
      <c r="G43" s="78" t="s">
        <v>0</v>
      </c>
      <c r="H43" s="11"/>
      <c r="I43" s="11"/>
    </row>
    <row r="44" spans="1:9" ht="21.75" customHeight="1">
      <c r="A44" s="11"/>
      <c r="B44" s="11"/>
      <c r="C44" s="334" t="s">
        <v>334</v>
      </c>
      <c r="D44" s="335">
        <f>+'Direct NOPAT'!G59</f>
        <v>9.2899999999999996E-2</v>
      </c>
      <c r="E44" s="163" t="s">
        <v>0</v>
      </c>
      <c r="F44" s="11"/>
      <c r="G44" s="11"/>
      <c r="H44" s="11"/>
      <c r="I44" s="11"/>
    </row>
    <row r="45" spans="1:9" ht="17.25" thickBot="1">
      <c r="A45" s="11"/>
      <c r="B45" s="11"/>
      <c r="C45" s="11"/>
      <c r="D45" s="66"/>
      <c r="E45" s="11"/>
      <c r="F45" s="11"/>
      <c r="G45" s="11"/>
      <c r="H45" s="11"/>
      <c r="I45" s="11"/>
    </row>
    <row r="46" spans="1:9" ht="17.25" thickTop="1">
      <c r="A46" s="11"/>
      <c r="B46" s="11"/>
      <c r="C46" s="13" t="s">
        <v>45</v>
      </c>
      <c r="D46" s="49">
        <f>MAX(D15:D43)</f>
        <v>0.13159999999999999</v>
      </c>
      <c r="E46" s="134"/>
      <c r="F46" s="11"/>
      <c r="G46" s="11"/>
      <c r="H46" s="11"/>
      <c r="I46" s="11"/>
    </row>
    <row r="47" spans="1:9" ht="16.5">
      <c r="A47" s="11"/>
      <c r="B47" s="11"/>
      <c r="C47" s="13" t="s">
        <v>46</v>
      </c>
      <c r="D47" s="304">
        <f>MIN(D15:D43)</f>
        <v>7.6324000000000003E-2</v>
      </c>
      <c r="E47" s="11"/>
      <c r="F47" s="11"/>
      <c r="G47" s="49"/>
      <c r="H47" s="49"/>
      <c r="I47" s="49"/>
    </row>
    <row r="48" spans="1:9" ht="16.5">
      <c r="A48" s="11"/>
      <c r="B48" s="11"/>
      <c r="C48" s="13" t="s">
        <v>18</v>
      </c>
      <c r="D48" s="78">
        <f>MEDIAN(D15:D43)</f>
        <v>0.10128399999999999</v>
      </c>
      <c r="E48" s="78"/>
      <c r="F48" s="78"/>
      <c r="G48" s="78"/>
      <c r="H48" s="78"/>
      <c r="I48" s="78"/>
    </row>
    <row r="49" spans="1:9" ht="16.5">
      <c r="A49" s="11"/>
      <c r="B49" s="11"/>
      <c r="C49" s="13" t="s">
        <v>387</v>
      </c>
      <c r="D49" s="79">
        <f>AVERAGE(D15:D43)</f>
        <v>9.9275379310344816E-2</v>
      </c>
      <c r="E49" s="79"/>
      <c r="F49" s="79"/>
      <c r="G49" s="79"/>
      <c r="H49" s="79"/>
      <c r="I49" s="79"/>
    </row>
    <row r="50" spans="1:9" ht="16.5">
      <c r="A50" s="11"/>
      <c r="B50" s="11"/>
      <c r="C50" s="13"/>
      <c r="D50" s="79"/>
      <c r="E50" s="79"/>
      <c r="F50" s="79"/>
      <c r="G50" s="79"/>
      <c r="H50" s="79"/>
      <c r="I50" s="79"/>
    </row>
    <row r="51" spans="1:9" ht="17.25" thickBot="1">
      <c r="A51" s="11"/>
      <c r="B51" s="11"/>
      <c r="C51" s="11"/>
      <c r="D51" s="11" t="s">
        <v>183</v>
      </c>
      <c r="E51" s="11"/>
      <c r="F51" s="11"/>
      <c r="G51" s="11"/>
      <c r="H51" s="11"/>
      <c r="I51" s="11"/>
    </row>
    <row r="52" spans="1:9" ht="27" thickBot="1">
      <c r="A52" s="11"/>
      <c r="B52" s="11"/>
      <c r="C52" s="178" t="s">
        <v>235</v>
      </c>
      <c r="D52" s="357">
        <v>9.9299999999999999E-2</v>
      </c>
      <c r="E52" s="80"/>
      <c r="F52" s="80"/>
    </row>
    <row r="53" spans="1:9" ht="26.25">
      <c r="A53" s="11"/>
      <c r="B53" s="11"/>
      <c r="C53" s="46"/>
      <c r="D53" s="344"/>
      <c r="E53" s="80"/>
      <c r="F53" s="80"/>
    </row>
    <row r="54" spans="1:9" ht="26.25">
      <c r="A54" s="11"/>
      <c r="B54" s="11"/>
      <c r="C54" s="46"/>
      <c r="D54" s="344"/>
      <c r="E54" s="80"/>
      <c r="F54" s="80"/>
    </row>
    <row r="55" spans="1:9" ht="26.25">
      <c r="A55" s="11"/>
      <c r="B55" s="11"/>
      <c r="C55" s="46"/>
      <c r="D55" s="344"/>
      <c r="E55" s="80"/>
      <c r="F55" s="80"/>
    </row>
    <row r="56" spans="1:9" ht="17.25">
      <c r="A56" s="102" t="s">
        <v>236</v>
      </c>
      <c r="B56" s="11"/>
      <c r="C56" s="11"/>
      <c r="D56" s="11"/>
      <c r="E56" s="11"/>
      <c r="F56" s="11"/>
      <c r="G56" s="11"/>
      <c r="H56" s="11"/>
      <c r="I56" s="11"/>
    </row>
    <row r="57" spans="1:9" ht="17.25">
      <c r="A57" s="102" t="s">
        <v>337</v>
      </c>
      <c r="B57" s="11"/>
      <c r="C57" s="11"/>
      <c r="D57" s="11"/>
      <c r="E57" s="11"/>
      <c r="F57" s="11"/>
      <c r="G57" s="11"/>
      <c r="H57" s="11"/>
      <c r="I57" s="11"/>
    </row>
    <row r="58" spans="1:9" ht="16.5">
      <c r="A58" s="11"/>
      <c r="B58" s="11"/>
      <c r="C58" s="11"/>
      <c r="D58" s="11"/>
      <c r="E58" s="11"/>
      <c r="F58" s="11"/>
      <c r="G58" s="11"/>
      <c r="H58" s="11"/>
      <c r="I58" s="11"/>
    </row>
    <row r="59" spans="1:9" ht="16.5">
      <c r="A59" s="11"/>
      <c r="B59" s="11"/>
      <c r="C59" s="11"/>
      <c r="D59" s="11"/>
      <c r="E59" s="11"/>
      <c r="F59" s="11"/>
      <c r="G59" s="11"/>
      <c r="H59" s="11"/>
      <c r="I59" s="11"/>
    </row>
    <row r="60" spans="1:9" ht="16.5">
      <c r="A60" s="11"/>
      <c r="B60" s="11"/>
      <c r="C60" s="11"/>
      <c r="D60" s="11"/>
      <c r="E60" s="11"/>
      <c r="F60" s="11"/>
      <c r="G60" s="11"/>
      <c r="H60" s="11"/>
      <c r="I60" s="11"/>
    </row>
    <row r="61" spans="1:9" ht="16.5">
      <c r="A61" s="11"/>
      <c r="B61" s="11"/>
      <c r="C61" s="11"/>
      <c r="D61" s="11"/>
      <c r="E61" s="11"/>
      <c r="F61" s="11"/>
      <c r="G61" s="11"/>
      <c r="H61" s="11"/>
      <c r="I61" s="11"/>
    </row>
    <row r="62" spans="1:9" ht="16.5">
      <c r="A62" s="11"/>
      <c r="B62" s="11"/>
      <c r="C62" s="11"/>
      <c r="D62" s="11" t="s">
        <v>0</v>
      </c>
      <c r="E62" s="11"/>
      <c r="F62" s="11"/>
      <c r="G62" s="11"/>
      <c r="H62" s="11"/>
      <c r="I62" s="11"/>
    </row>
    <row r="63" spans="1:9" ht="16.5">
      <c r="A63" s="11"/>
      <c r="B63" s="11"/>
      <c r="C63" s="11"/>
      <c r="D63" s="11" t="s">
        <v>0</v>
      </c>
      <c r="E63" s="11"/>
      <c r="F63" s="11"/>
      <c r="G63" s="11"/>
      <c r="H63" s="11"/>
      <c r="I63" s="11"/>
    </row>
    <row r="64" spans="1:9" ht="16.5">
      <c r="A64" s="11"/>
      <c r="B64" s="11"/>
      <c r="C64" s="11"/>
      <c r="D64" s="11"/>
      <c r="E64" s="11"/>
      <c r="F64" s="11"/>
      <c r="G64" s="11"/>
      <c r="H64" s="11"/>
      <c r="I64" s="11"/>
    </row>
    <row r="65" spans="1:9" ht="16.5">
      <c r="A65" s="11"/>
      <c r="B65" s="11"/>
      <c r="C65" s="11"/>
      <c r="D65" s="11"/>
      <c r="E65" s="11"/>
      <c r="F65" s="11"/>
      <c r="G65" s="11"/>
      <c r="H65" s="11"/>
      <c r="I65" s="11"/>
    </row>
    <row r="66" spans="1:9" ht="16.5">
      <c r="A66" s="11"/>
      <c r="B66" s="11"/>
      <c r="C66" s="11"/>
      <c r="D66" s="11"/>
      <c r="E66" s="11"/>
      <c r="F66" s="11"/>
      <c r="G66" s="11"/>
      <c r="H66" s="11"/>
      <c r="I66" s="11"/>
    </row>
    <row r="67" spans="1:9" ht="16.5">
      <c r="A67" s="11"/>
      <c r="B67" s="11"/>
      <c r="C67" s="11"/>
      <c r="D67" s="11"/>
      <c r="E67" s="11"/>
      <c r="F67" s="11"/>
      <c r="G67" s="11"/>
      <c r="H67" s="11"/>
      <c r="I67" s="11"/>
    </row>
    <row r="68" spans="1:9" ht="16.5">
      <c r="A68" s="11"/>
      <c r="B68" s="11"/>
      <c r="C68" s="11"/>
      <c r="D68" s="11"/>
      <c r="E68" s="11"/>
      <c r="F68" s="11"/>
      <c r="G68" s="11"/>
      <c r="H68" s="11"/>
      <c r="I68" s="11"/>
    </row>
    <row r="69" spans="1:9" ht="16.5">
      <c r="A69" s="11"/>
      <c r="B69" s="11"/>
      <c r="C69" s="11"/>
      <c r="D69" s="11"/>
      <c r="E69" s="11"/>
      <c r="F69" s="11"/>
      <c r="G69" s="11"/>
      <c r="H69" s="11"/>
      <c r="I69" s="11"/>
    </row>
    <row r="70" spans="1:9" ht="16.5">
      <c r="A70" s="11"/>
      <c r="B70" s="11"/>
      <c r="C70" s="11"/>
      <c r="D70" s="11"/>
      <c r="E70" s="11"/>
      <c r="F70" s="11"/>
      <c r="G70" s="11"/>
      <c r="H70" s="11"/>
      <c r="I70" s="11"/>
    </row>
    <row r="71" spans="1:9" ht="16.5">
      <c r="A71" s="11"/>
      <c r="B71" s="11"/>
      <c r="C71" s="11"/>
      <c r="D71" s="11"/>
      <c r="E71" s="11"/>
      <c r="F71" s="11"/>
      <c r="G71" s="11"/>
      <c r="H71" s="11"/>
      <c r="I71" s="11"/>
    </row>
    <row r="72" spans="1:9" ht="16.5">
      <c r="A72" s="11"/>
      <c r="B72" s="11"/>
      <c r="C72" s="11"/>
      <c r="D72" s="11"/>
      <c r="E72" s="11"/>
      <c r="F72" s="11"/>
      <c r="G72" s="11"/>
      <c r="H72" s="11"/>
      <c r="I72" s="11"/>
    </row>
    <row r="73" spans="1:9" ht="16.5">
      <c r="A73" s="11"/>
      <c r="B73" s="11"/>
      <c r="C73" s="11"/>
      <c r="D73" s="11"/>
      <c r="E73" s="11"/>
      <c r="F73" s="11"/>
      <c r="G73" s="11"/>
      <c r="H73" s="11"/>
      <c r="I73" s="11"/>
    </row>
    <row r="74" spans="1:9" ht="16.5">
      <c r="A74" s="11"/>
      <c r="B74" s="11"/>
      <c r="C74" s="11"/>
      <c r="D74" s="11"/>
      <c r="E74" s="11"/>
      <c r="F74" s="11"/>
      <c r="G74" s="11"/>
      <c r="H74" s="11"/>
      <c r="I74" s="11"/>
    </row>
    <row r="75" spans="1:9" ht="16.5">
      <c r="A75" s="11"/>
      <c r="B75" s="11"/>
      <c r="C75" s="11"/>
      <c r="D75" s="11"/>
      <c r="E75" s="11"/>
      <c r="F75" s="11"/>
      <c r="G75" s="11"/>
      <c r="H75" s="11"/>
      <c r="I75" s="11"/>
    </row>
    <row r="76" spans="1:9" ht="16.5">
      <c r="A76" s="11"/>
      <c r="B76" s="11"/>
      <c r="C76" s="11"/>
      <c r="D76" s="11"/>
      <c r="E76" s="11"/>
      <c r="F76" s="11"/>
      <c r="G76" s="11"/>
      <c r="H76" s="11"/>
      <c r="I76" s="11"/>
    </row>
    <row r="77" spans="1:9" ht="16.5">
      <c r="A77" s="11"/>
      <c r="B77" s="11"/>
      <c r="C77" s="11"/>
      <c r="D77" s="11"/>
      <c r="E77" s="11"/>
      <c r="F77" s="11"/>
      <c r="G77" s="11"/>
      <c r="H77" s="11"/>
      <c r="I77" s="11"/>
    </row>
    <row r="78" spans="1:9" ht="16.5">
      <c r="A78" s="11"/>
      <c r="B78" s="11"/>
      <c r="C78" s="11"/>
      <c r="D78" s="11"/>
      <c r="E78" s="11"/>
      <c r="F78" s="11"/>
      <c r="G78" s="11"/>
      <c r="H78" s="11"/>
      <c r="I78" s="11"/>
    </row>
    <row r="79" spans="1:9" ht="16.5">
      <c r="A79" s="11"/>
      <c r="B79" s="11"/>
      <c r="C79" s="11"/>
      <c r="D79" s="11"/>
      <c r="E79" s="11"/>
      <c r="F79" s="11"/>
      <c r="G79" s="11"/>
      <c r="H79" s="11"/>
      <c r="I79" s="11"/>
    </row>
    <row r="80" spans="1:9" ht="16.5">
      <c r="A80" s="11"/>
      <c r="B80" s="11"/>
      <c r="C80" s="11"/>
      <c r="D80" s="11"/>
      <c r="E80" s="11"/>
      <c r="F80" s="11"/>
      <c r="G80" s="11"/>
      <c r="H80" s="11"/>
      <c r="I80" s="11"/>
    </row>
    <row r="81" spans="1:9" ht="16.5">
      <c r="A81" s="11"/>
      <c r="B81" s="11"/>
      <c r="C81" s="11"/>
      <c r="D81" s="11"/>
      <c r="E81" s="11"/>
      <c r="F81" s="11"/>
      <c r="G81" s="11"/>
      <c r="H81" s="11"/>
      <c r="I81" s="11"/>
    </row>
    <row r="82" spans="1:9" ht="16.5">
      <c r="A82" s="11"/>
      <c r="B82" s="11"/>
      <c r="C82" s="11"/>
      <c r="D82" s="11"/>
      <c r="E82" s="11"/>
      <c r="F82" s="11"/>
      <c r="G82" s="11"/>
      <c r="H82" s="11"/>
      <c r="I82" s="11"/>
    </row>
    <row r="83" spans="1:9" ht="16.5">
      <c r="A83" s="11"/>
      <c r="B83" s="11"/>
      <c r="C83" s="11"/>
      <c r="D83" s="11"/>
      <c r="E83" s="11"/>
      <c r="F83" s="11"/>
      <c r="G83" s="11"/>
      <c r="H83" s="11"/>
      <c r="I83" s="11"/>
    </row>
    <row r="84" spans="1:9" ht="16.5">
      <c r="A84" s="11"/>
      <c r="B84" s="11"/>
      <c r="C84" s="11"/>
      <c r="D84" s="11"/>
      <c r="E84" s="11"/>
      <c r="F84" s="11"/>
      <c r="G84" s="11"/>
      <c r="H84" s="11"/>
      <c r="I84" s="11"/>
    </row>
    <row r="85" spans="1:9" ht="16.5">
      <c r="A85" s="11"/>
      <c r="B85" s="11"/>
      <c r="C85" s="11"/>
      <c r="D85" s="11"/>
      <c r="E85" s="11"/>
      <c r="F85" s="11"/>
      <c r="G85" s="11"/>
      <c r="H85" s="11"/>
      <c r="I85" s="11"/>
    </row>
    <row r="86" spans="1:9" ht="16.5">
      <c r="A86" s="11"/>
      <c r="B86" s="11"/>
      <c r="C86" s="11"/>
      <c r="D86" s="11"/>
      <c r="E86" s="11"/>
      <c r="F86" s="11"/>
      <c r="G86" s="11"/>
      <c r="H86" s="11"/>
      <c r="I86" s="11"/>
    </row>
    <row r="87" spans="1:9" ht="16.5">
      <c r="A87" s="11"/>
      <c r="B87" s="11"/>
      <c r="C87" s="11"/>
      <c r="D87" s="11"/>
      <c r="E87" s="11"/>
      <c r="F87" s="11"/>
      <c r="G87" s="11"/>
      <c r="H87" s="11"/>
      <c r="I87" s="11"/>
    </row>
    <row r="88" spans="1:9" ht="16.5">
      <c r="A88" s="11"/>
      <c r="B88" s="11"/>
      <c r="C88" s="11"/>
      <c r="D88" s="11"/>
      <c r="E88" s="11"/>
      <c r="F88" s="11"/>
      <c r="G88" s="11"/>
      <c r="H88" s="11"/>
      <c r="I88" s="11"/>
    </row>
    <row r="89" spans="1:9" ht="16.5">
      <c r="A89" s="11"/>
      <c r="B89" s="11"/>
      <c r="C89" s="11"/>
      <c r="D89" s="11"/>
      <c r="E89" s="11"/>
      <c r="F89" s="11"/>
      <c r="G89" s="11"/>
      <c r="H89" s="11"/>
      <c r="I89" s="11"/>
    </row>
    <row r="90" spans="1:9" ht="16.5">
      <c r="A90" s="11"/>
      <c r="B90" s="11"/>
      <c r="C90" s="11"/>
      <c r="D90" s="11"/>
      <c r="E90" s="11"/>
      <c r="F90" s="11"/>
      <c r="G90" s="11"/>
      <c r="H90" s="11"/>
      <c r="I90" s="11"/>
    </row>
    <row r="91" spans="1:9" ht="16.5">
      <c r="A91" s="11"/>
      <c r="B91" s="11"/>
      <c r="C91" s="11"/>
      <c r="D91" s="11"/>
      <c r="E91" s="11"/>
      <c r="F91" s="11"/>
      <c r="G91" s="11"/>
      <c r="H91" s="11"/>
      <c r="I91" s="11"/>
    </row>
    <row r="92" spans="1:9" ht="16.5">
      <c r="A92" s="11"/>
      <c r="B92" s="11"/>
      <c r="C92" s="11"/>
      <c r="D92" s="11"/>
      <c r="E92" s="11"/>
      <c r="F92" s="11"/>
      <c r="G92" s="11"/>
      <c r="H92" s="11"/>
      <c r="I92" s="11"/>
    </row>
    <row r="93" spans="1:9" ht="16.5">
      <c r="A93" s="11"/>
      <c r="B93" s="11"/>
      <c r="C93" s="11"/>
      <c r="D93" s="11"/>
      <c r="E93" s="11"/>
      <c r="F93" s="11"/>
      <c r="G93" s="11"/>
      <c r="H93" s="11"/>
      <c r="I93" s="11"/>
    </row>
    <row r="94" spans="1:9" ht="16.5">
      <c r="A94" s="11"/>
      <c r="B94" s="11"/>
      <c r="C94" s="11"/>
      <c r="D94" s="11"/>
      <c r="E94" s="11"/>
      <c r="F94" s="11"/>
      <c r="G94" s="11"/>
      <c r="H94" s="11"/>
      <c r="I94" s="11"/>
    </row>
    <row r="95" spans="1:9" ht="16.5">
      <c r="A95" s="11"/>
      <c r="B95" s="11"/>
      <c r="C95" s="11"/>
      <c r="D95" s="11"/>
      <c r="E95" s="11"/>
      <c r="F95" s="11"/>
      <c r="G95" s="11"/>
      <c r="H95" s="11"/>
      <c r="I95" s="11"/>
    </row>
    <row r="96" spans="1:9" ht="16.5">
      <c r="A96" s="11"/>
      <c r="B96" s="11"/>
      <c r="C96" s="11"/>
      <c r="D96" s="11"/>
      <c r="E96" s="11"/>
      <c r="F96" s="11"/>
      <c r="G96" s="11"/>
      <c r="H96" s="11"/>
      <c r="I96" s="11"/>
    </row>
    <row r="97" spans="1:9" ht="16.5">
      <c r="A97" s="11"/>
      <c r="B97" s="11"/>
      <c r="C97" s="11"/>
      <c r="D97" s="11"/>
      <c r="E97" s="11"/>
      <c r="F97" s="11"/>
      <c r="G97" s="11"/>
      <c r="H97" s="11"/>
      <c r="I97" s="11"/>
    </row>
    <row r="98" spans="1:9" ht="16.5">
      <c r="A98" s="11"/>
      <c r="B98" s="11"/>
      <c r="C98" s="11"/>
      <c r="D98" s="11"/>
      <c r="E98" s="11"/>
      <c r="F98" s="11"/>
      <c r="G98" s="11"/>
      <c r="H98" s="11"/>
      <c r="I98" s="11"/>
    </row>
    <row r="99" spans="1:9" ht="16.5">
      <c r="A99" s="11"/>
      <c r="B99" s="11"/>
      <c r="C99" s="11"/>
      <c r="D99" s="11"/>
      <c r="E99" s="11"/>
      <c r="F99" s="11"/>
      <c r="G99" s="11"/>
      <c r="H99" s="11"/>
      <c r="I99" s="11"/>
    </row>
    <row r="100" spans="1:9" ht="16.5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9" ht="16.5">
      <c r="A101" s="11"/>
      <c r="B101" s="11"/>
      <c r="C101" s="11"/>
      <c r="D101" s="11"/>
      <c r="E101" s="11"/>
      <c r="F101" s="11"/>
      <c r="G101" s="11"/>
      <c r="H101" s="11"/>
      <c r="I101" s="11"/>
    </row>
    <row r="102" spans="1:9" ht="16.5">
      <c r="A102" s="11"/>
      <c r="B102" s="11"/>
      <c r="C102" s="11"/>
      <c r="D102" s="11"/>
      <c r="E102" s="11"/>
      <c r="F102" s="11"/>
      <c r="G102" s="11"/>
      <c r="H102" s="11"/>
      <c r="I102" s="11"/>
    </row>
    <row r="103" spans="1:9" ht="16.5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9" ht="16.5">
      <c r="A104" s="11"/>
      <c r="B104" s="11"/>
      <c r="C104" s="11"/>
      <c r="D104" s="11"/>
      <c r="E104" s="11"/>
      <c r="F104" s="11"/>
      <c r="G104" s="11"/>
      <c r="H104" s="11"/>
      <c r="I104" s="11"/>
    </row>
    <row r="105" spans="1:9" ht="16.5">
      <c r="A105" s="11"/>
      <c r="B105" s="11"/>
      <c r="C105" s="11"/>
      <c r="D105" s="11"/>
      <c r="E105" s="11"/>
      <c r="F105" s="11"/>
      <c r="G105" s="11"/>
      <c r="H105" s="11"/>
      <c r="I105" s="11"/>
    </row>
    <row r="106" spans="1:9" ht="16.5">
      <c r="A106" s="11"/>
      <c r="B106" s="11"/>
      <c r="C106" s="11"/>
      <c r="D106" s="11"/>
      <c r="E106" s="11"/>
      <c r="F106" s="11"/>
      <c r="G106" s="11"/>
      <c r="H106" s="11"/>
      <c r="I106" s="11"/>
    </row>
    <row r="107" spans="1:9" ht="16.5">
      <c r="A107" s="11"/>
      <c r="B107" s="11"/>
      <c r="C107" s="11"/>
      <c r="D107" s="11"/>
      <c r="E107" s="11"/>
      <c r="F107" s="11"/>
      <c r="G107" s="11"/>
      <c r="H107" s="11"/>
      <c r="I107" s="11"/>
    </row>
    <row r="108" spans="1:9" ht="16.5">
      <c r="A108" s="11"/>
      <c r="B108" s="11"/>
      <c r="C108" s="11"/>
      <c r="D108" s="11"/>
      <c r="E108" s="11"/>
      <c r="F108" s="11"/>
      <c r="G108" s="11"/>
      <c r="H108" s="11"/>
      <c r="I108" s="11"/>
    </row>
  </sheetData>
  <pageMargins left="0.25" right="0.25" top="0.75" bottom="0.75" header="0.3" footer="0.3"/>
  <pageSetup scale="4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EAA8-BBA3-479C-8851-708BD7E9A4CD}">
  <sheetPr>
    <tabColor rgb="FF92D050"/>
  </sheetPr>
  <dimension ref="A1:K45"/>
  <sheetViews>
    <sheetView view="pageBreakPreview" zoomScale="70" zoomScaleNormal="80" zoomScaleSheetLayoutView="70" workbookViewId="0">
      <selection activeCell="G6" sqref="G6"/>
    </sheetView>
  </sheetViews>
  <sheetFormatPr defaultRowHeight="15"/>
  <cols>
    <col min="1" max="1" width="45.140625" customWidth="1"/>
    <col min="2" max="2" width="10.85546875" bestFit="1" customWidth="1"/>
    <col min="3" max="3" width="24" customWidth="1"/>
    <col min="4" max="4" width="15.28515625" customWidth="1"/>
    <col min="5" max="5" width="27.140625" customWidth="1"/>
    <col min="6" max="6" width="22" customWidth="1"/>
    <col min="7" max="7" width="29.28515625" customWidth="1"/>
    <col min="8" max="8" width="37" customWidth="1"/>
    <col min="9" max="9" width="24.5703125" customWidth="1"/>
    <col min="10" max="10" width="24.140625" customWidth="1"/>
    <col min="12" max="12" width="10.5703125" customWidth="1"/>
  </cols>
  <sheetData>
    <row r="1" spans="1:11" ht="26.25">
      <c r="A1" s="22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7.25">
      <c r="A2" s="23" t="s">
        <v>9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6.5">
      <c r="A3" s="24" t="s">
        <v>465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16.5">
      <c r="A4" s="24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7.25" thickBot="1">
      <c r="A5" s="11"/>
      <c r="B5" s="11"/>
      <c r="C5" s="11"/>
      <c r="D5" s="11"/>
      <c r="E5" s="11"/>
      <c r="F5" s="11" t="s">
        <v>0</v>
      </c>
      <c r="G5" s="11"/>
      <c r="H5" s="25"/>
      <c r="I5" s="11"/>
      <c r="J5" s="11"/>
      <c r="K5" s="11"/>
    </row>
    <row r="6" spans="1:11" ht="18" thickBot="1">
      <c r="A6" s="236" t="str">
        <f>+'S&amp;D'!A12</f>
        <v>Natural Gas Transmission Pipeline Carrier</v>
      </c>
      <c r="B6" s="170"/>
      <c r="C6" s="11"/>
      <c r="D6" s="27"/>
      <c r="E6" s="27"/>
      <c r="F6" s="27"/>
      <c r="G6" s="484" t="s">
        <v>0</v>
      </c>
      <c r="H6" s="27"/>
      <c r="I6" s="11"/>
      <c r="J6" s="11"/>
      <c r="K6" s="11"/>
    </row>
    <row r="7" spans="1:11" ht="26.25">
      <c r="A7" s="28"/>
      <c r="B7" s="11"/>
      <c r="C7" s="11"/>
      <c r="D7" s="11"/>
      <c r="E7" s="11"/>
      <c r="F7" s="29" t="s">
        <v>167</v>
      </c>
      <c r="G7" s="11"/>
      <c r="H7" s="11"/>
      <c r="I7" s="11"/>
      <c r="J7" s="11"/>
      <c r="K7" s="11"/>
    </row>
    <row r="8" spans="1:11" ht="21" thickBot="1">
      <c r="A8" s="28"/>
      <c r="B8" s="11"/>
      <c r="C8" s="11"/>
      <c r="D8" s="27"/>
      <c r="E8" s="27"/>
      <c r="F8" s="30" t="s">
        <v>477</v>
      </c>
      <c r="G8" s="27"/>
      <c r="H8" s="27"/>
      <c r="I8" s="11"/>
      <c r="J8" s="11"/>
      <c r="K8" s="11"/>
    </row>
    <row r="9" spans="1:11" ht="17.25" thickBot="1">
      <c r="A9" s="31" t="s">
        <v>0</v>
      </c>
      <c r="B9" s="31" t="s">
        <v>0</v>
      </c>
      <c r="C9" s="31" t="s">
        <v>0</v>
      </c>
      <c r="D9" s="27"/>
      <c r="E9" s="31"/>
      <c r="F9" s="31" t="s">
        <v>0</v>
      </c>
      <c r="G9" s="31"/>
      <c r="H9" s="27"/>
      <c r="I9" s="27"/>
      <c r="J9" s="27"/>
      <c r="K9" s="11"/>
    </row>
    <row r="10" spans="1:11" ht="16.5">
      <c r="A10" s="32" t="s">
        <v>0</v>
      </c>
      <c r="B10" s="32" t="s">
        <v>3</v>
      </c>
      <c r="C10" s="32" t="s">
        <v>5</v>
      </c>
      <c r="D10" s="32" t="s">
        <v>156</v>
      </c>
      <c r="E10" s="32" t="s">
        <v>12</v>
      </c>
      <c r="F10" s="32" t="s">
        <v>168</v>
      </c>
      <c r="G10" s="32" t="s">
        <v>169</v>
      </c>
      <c r="H10" s="32" t="s">
        <v>169</v>
      </c>
      <c r="I10" s="32" t="s">
        <v>164</v>
      </c>
      <c r="J10" s="32" t="s">
        <v>164</v>
      </c>
      <c r="K10" s="11"/>
    </row>
    <row r="11" spans="1:11" ht="16.5">
      <c r="A11" s="32" t="s">
        <v>2</v>
      </c>
      <c r="B11" s="32" t="s">
        <v>4</v>
      </c>
      <c r="C11" s="32" t="s">
        <v>6</v>
      </c>
      <c r="D11" s="32" t="s">
        <v>196</v>
      </c>
      <c r="E11" s="32" t="s">
        <v>14</v>
      </c>
      <c r="F11" s="32" t="s">
        <v>360</v>
      </c>
      <c r="G11" s="32" t="s">
        <v>197</v>
      </c>
      <c r="H11" s="32" t="s">
        <v>198</v>
      </c>
      <c r="I11" s="32" t="s">
        <v>159</v>
      </c>
      <c r="J11" s="32" t="s">
        <v>162</v>
      </c>
      <c r="K11" s="11"/>
    </row>
    <row r="12" spans="1:11" ht="16.5">
      <c r="A12" s="32"/>
      <c r="B12" s="32"/>
      <c r="C12" s="32"/>
      <c r="D12" s="32"/>
      <c r="E12" s="32"/>
      <c r="F12" s="33" t="s">
        <v>0</v>
      </c>
      <c r="G12" s="33" t="s">
        <v>457</v>
      </c>
      <c r="H12" s="33" t="s">
        <v>457</v>
      </c>
      <c r="I12" s="32"/>
      <c r="J12" s="32"/>
      <c r="K12" s="11"/>
    </row>
    <row r="13" spans="1:11" ht="17.25" thickBot="1">
      <c r="A13" s="34" t="s">
        <v>24</v>
      </c>
      <c r="B13" s="35" t="s">
        <v>88</v>
      </c>
      <c r="C13" s="35" t="s">
        <v>89</v>
      </c>
      <c r="D13" s="35" t="s">
        <v>90</v>
      </c>
      <c r="E13" s="35" t="s">
        <v>91</v>
      </c>
      <c r="F13" s="35" t="s">
        <v>92</v>
      </c>
      <c r="G13" s="35" t="s">
        <v>93</v>
      </c>
      <c r="H13" s="35" t="s">
        <v>94</v>
      </c>
      <c r="I13" s="35" t="s">
        <v>165</v>
      </c>
      <c r="J13" s="35" t="s">
        <v>166</v>
      </c>
      <c r="K13" s="11"/>
    </row>
    <row r="14" spans="1:11" ht="16.5">
      <c r="A14" s="36" t="s">
        <v>7</v>
      </c>
      <c r="B14" s="36" t="s">
        <v>7</v>
      </c>
      <c r="C14" s="36" t="s">
        <v>7</v>
      </c>
      <c r="D14" s="37" t="s">
        <v>112</v>
      </c>
      <c r="E14" s="37"/>
      <c r="F14" s="36" t="s">
        <v>0</v>
      </c>
      <c r="G14" s="36" t="s">
        <v>7</v>
      </c>
      <c r="H14" s="36" t="s">
        <v>7</v>
      </c>
      <c r="I14" s="36" t="s">
        <v>15</v>
      </c>
      <c r="J14" s="36" t="s">
        <v>15</v>
      </c>
      <c r="K14" s="11"/>
    </row>
    <row r="15" spans="1:11" ht="16.5">
      <c r="A15" s="32"/>
      <c r="B15" s="32"/>
      <c r="C15" s="32"/>
      <c r="D15" s="32"/>
      <c r="E15" s="32"/>
      <c r="F15" s="32"/>
      <c r="G15" s="32"/>
      <c r="H15" s="11"/>
      <c r="I15" s="11"/>
      <c r="J15" s="11"/>
      <c r="K15" s="11"/>
    </row>
    <row r="16" spans="1:11" ht="16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ht="17.25">
      <c r="A17" s="59" t="str">
        <f>+'S&amp;D'!A22</f>
        <v>Enbridge Inc</v>
      </c>
      <c r="B17" s="86" t="str">
        <f>+'S&amp;D'!B22</f>
        <v>ENB.TO</v>
      </c>
      <c r="C17" s="86" t="str">
        <f>+'S&amp;D'!C22</f>
        <v>Oil &amp; Gas Distribution</v>
      </c>
      <c r="D17" s="56">
        <f>+'S&amp;D'!G22</f>
        <v>65.680000000000007</v>
      </c>
      <c r="E17" s="57">
        <f>+'S&amp;D'!D37</f>
        <v>143313760000</v>
      </c>
      <c r="F17" s="50">
        <f>+'Dividends '!H16</f>
        <v>5.9378806333739334E-2</v>
      </c>
      <c r="G17" s="50">
        <v>1.4999999999999999E-2</v>
      </c>
      <c r="H17" s="50">
        <v>0.03</v>
      </c>
      <c r="I17" s="293">
        <f t="shared" ref="I17:I20" si="0">+F17+G17</f>
        <v>7.4378806333739333E-2</v>
      </c>
      <c r="J17" s="293">
        <f t="shared" ref="J17:J20" si="1">+F17+H17</f>
        <v>8.9378806333739333E-2</v>
      </c>
      <c r="K17" s="11"/>
    </row>
    <row r="18" spans="1:11" ht="17.25">
      <c r="A18" s="59" t="str">
        <f>+'S&amp;D'!A23</f>
        <v>Energy Transfer LP</v>
      </c>
      <c r="B18" s="86" t="str">
        <f>+'S&amp;D'!B23</f>
        <v>ET</v>
      </c>
      <c r="C18" s="86" t="str">
        <f>+'S&amp;D'!C23</f>
        <v>Pipeline MLPs</v>
      </c>
      <c r="D18" s="56">
        <f>+'S&amp;D'!G23</f>
        <v>16.489999999999998</v>
      </c>
      <c r="E18" s="57">
        <f>+'S&amp;D'!D38</f>
        <v>56725381985.709991</v>
      </c>
      <c r="F18" s="50">
        <f>+'Dividends '!H17</f>
        <v>8.4899939357186177E-2</v>
      </c>
      <c r="G18" s="50">
        <v>4.4999999999999998E-2</v>
      </c>
      <c r="H18" s="50">
        <v>7.0000000000000007E-2</v>
      </c>
      <c r="I18" s="293">
        <f t="shared" si="0"/>
        <v>0.12989993935718619</v>
      </c>
      <c r="J18" s="293">
        <f t="shared" si="1"/>
        <v>0.15489993935718618</v>
      </c>
      <c r="K18" s="11"/>
    </row>
    <row r="19" spans="1:11" ht="17.25">
      <c r="A19" s="59" t="str">
        <f>+'S&amp;D'!A24</f>
        <v>Enterprise Products Partnership LP</v>
      </c>
      <c r="B19" s="86" t="str">
        <f>+'S&amp;D'!B24</f>
        <v>EPD</v>
      </c>
      <c r="C19" s="86" t="str">
        <f>+'S&amp;D'!C24</f>
        <v>Pipeline MLPs</v>
      </c>
      <c r="D19" s="56">
        <f>+'S&amp;D'!G24</f>
        <v>32.06</v>
      </c>
      <c r="E19" s="57">
        <f>+'S&amp;D'!D39</f>
        <v>69306047496.980011</v>
      </c>
      <c r="F19" s="50">
        <f>+'Dividends '!H18</f>
        <v>7.2364316905801612E-2</v>
      </c>
      <c r="G19" s="50">
        <v>0.1</v>
      </c>
      <c r="H19" s="50">
        <v>5.5E-2</v>
      </c>
      <c r="I19" s="293">
        <f t="shared" si="0"/>
        <v>0.17236431690580162</v>
      </c>
      <c r="J19" s="293">
        <f t="shared" si="1"/>
        <v>0.12736431690580161</v>
      </c>
      <c r="K19" s="11"/>
    </row>
    <row r="20" spans="1:11" ht="17.25">
      <c r="A20" s="59" t="str">
        <f>+'S&amp;D'!A25</f>
        <v>Kinder Morgan Inc</v>
      </c>
      <c r="B20" s="86" t="str">
        <f>+'S&amp;D'!B25</f>
        <v>KMI</v>
      </c>
      <c r="C20" s="86" t="str">
        <f>+'S&amp;D'!C25</f>
        <v>Oil &amp; Gas Distribution</v>
      </c>
      <c r="D20" s="56">
        <f>+'S&amp;D'!G25</f>
        <v>27.49</v>
      </c>
      <c r="E20" s="57">
        <f>+'S&amp;D'!D40</f>
        <v>61159140347.5</v>
      </c>
      <c r="F20" s="50">
        <f>+'Dividends '!H19</f>
        <v>4.4016005820298292E-2</v>
      </c>
      <c r="G20" s="50">
        <v>4.4999999999999998E-2</v>
      </c>
      <c r="H20" s="50">
        <v>0.08</v>
      </c>
      <c r="I20" s="293">
        <f t="shared" si="0"/>
        <v>8.9016005820298283E-2</v>
      </c>
      <c r="J20" s="293">
        <f t="shared" si="1"/>
        <v>0.12401600582029829</v>
      </c>
      <c r="K20" s="11"/>
    </row>
    <row r="21" spans="1:11" ht="17.25">
      <c r="A21" s="59" t="str">
        <f>+'S&amp;D'!A26</f>
        <v>ONEOK Inc</v>
      </c>
      <c r="B21" s="86" t="str">
        <f>+'S&amp;D'!B26</f>
        <v>OKE</v>
      </c>
      <c r="C21" s="86" t="str">
        <f>+'S&amp;D'!C26</f>
        <v>Oil &amp; Gas Distribution</v>
      </c>
      <c r="D21" s="56">
        <f>+'S&amp;D'!G26</f>
        <v>73.5</v>
      </c>
      <c r="E21" s="57">
        <f>+'S&amp;D'!D41</f>
        <v>46283515288.5</v>
      </c>
      <c r="F21" s="50">
        <f>+'Dividends '!H20</f>
        <v>5.9863945578231298E-2</v>
      </c>
      <c r="G21" s="50">
        <v>0.04</v>
      </c>
      <c r="H21" s="50">
        <v>0.12</v>
      </c>
      <c r="I21" s="293">
        <f t="shared" ref="I21:I23" si="2">+F21+G21</f>
        <v>9.9863945578231306E-2</v>
      </c>
      <c r="J21" s="293">
        <f t="shared" ref="J21:J22" si="3">+F21+H21</f>
        <v>0.17986394557823129</v>
      </c>
      <c r="K21" s="11"/>
    </row>
    <row r="22" spans="1:11" ht="17.25">
      <c r="A22" s="59" t="str">
        <f>+'S&amp;D'!A27</f>
        <v>TC Energy Corp</v>
      </c>
      <c r="B22" s="86" t="str">
        <f>+'S&amp;D'!B27</f>
        <v>TRP</v>
      </c>
      <c r="C22" s="86" t="str">
        <f>+'S&amp;D'!C27</f>
        <v>Oil &amp; Gas Distribution</v>
      </c>
      <c r="D22" s="56">
        <f>+'S&amp;D'!G27</f>
        <v>55.01</v>
      </c>
      <c r="E22" s="57">
        <f>+'S&amp;D'!D42</f>
        <v>57265410000</v>
      </c>
      <c r="F22" s="50">
        <f>+'Dividends '!H21</f>
        <v>4.908198509361935E-2</v>
      </c>
      <c r="G22" s="50">
        <v>1.4999999999999999E-2</v>
      </c>
      <c r="H22" s="50">
        <v>7.0000000000000007E-2</v>
      </c>
      <c r="I22" s="293">
        <f t="shared" si="2"/>
        <v>6.4081985093619342E-2</v>
      </c>
      <c r="J22" s="293">
        <f t="shared" si="3"/>
        <v>0.11908198509361936</v>
      </c>
      <c r="K22" s="11"/>
    </row>
    <row r="23" spans="1:11" ht="17.25">
      <c r="A23" s="59" t="str">
        <f>+'S&amp;D'!A28</f>
        <v>Williams Companys Inc</v>
      </c>
      <c r="B23" s="86" t="str">
        <f>+'S&amp;D'!B28</f>
        <v>WMB</v>
      </c>
      <c r="C23" s="86" t="str">
        <f>+'S&amp;D'!C28</f>
        <v>Oil &amp; Gas Distribution</v>
      </c>
      <c r="D23" s="56">
        <f>+'S&amp;D'!G28</f>
        <v>60.11</v>
      </c>
      <c r="E23" s="57">
        <f>+'S&amp;D'!D43</f>
        <v>73454420000</v>
      </c>
      <c r="F23" s="50">
        <f>+'Dividends '!H22</f>
        <v>3.6599567459657298E-2</v>
      </c>
      <c r="G23" s="50">
        <v>0.03</v>
      </c>
      <c r="H23" s="50">
        <v>0.09</v>
      </c>
      <c r="I23" s="293">
        <f t="shared" si="2"/>
        <v>6.6599567459657297E-2</v>
      </c>
      <c r="J23" s="293">
        <f>+F23+H23</f>
        <v>0.12659956745965728</v>
      </c>
      <c r="K23" s="11"/>
    </row>
    <row r="24" spans="1:11" ht="16.5">
      <c r="A24" s="11"/>
      <c r="B24" s="11"/>
      <c r="C24" s="13" t="s">
        <v>0</v>
      </c>
      <c r="D24" s="14" t="s">
        <v>0</v>
      </c>
      <c r="E24" s="14" t="s">
        <v>45</v>
      </c>
      <c r="F24" s="372">
        <f>MAX(F17:F23)</f>
        <v>8.4899939357186177E-2</v>
      </c>
      <c r="G24" s="279"/>
      <c r="H24" s="279"/>
      <c r="I24" s="279">
        <f>MAX(I17:I23)</f>
        <v>0.17236431690580162</v>
      </c>
      <c r="J24" s="279">
        <f>MAX(J17:J23)</f>
        <v>0.17986394557823129</v>
      </c>
      <c r="K24" s="11"/>
    </row>
    <row r="25" spans="1:11" ht="16.5">
      <c r="A25" s="11"/>
      <c r="B25" s="11"/>
      <c r="C25" s="13"/>
      <c r="D25" s="14"/>
      <c r="E25" s="14" t="s">
        <v>46</v>
      </c>
      <c r="F25" s="371">
        <f>+MIN(F17:F23)</f>
        <v>3.6599567459657298E-2</v>
      </c>
      <c r="G25" s="300"/>
      <c r="H25" s="300"/>
      <c r="I25" s="300">
        <f t="shared" ref="I25:J25" si="4">+MIN(I17:I23)</f>
        <v>6.4081985093619342E-2</v>
      </c>
      <c r="J25" s="300">
        <f t="shared" si="4"/>
        <v>8.9378806333739333E-2</v>
      </c>
      <c r="K25" s="11"/>
    </row>
    <row r="26" spans="1:11" ht="16.5">
      <c r="A26" s="11"/>
      <c r="B26" s="11"/>
      <c r="D26" s="16" t="s">
        <v>0</v>
      </c>
      <c r="E26" s="13" t="s">
        <v>18</v>
      </c>
      <c r="F26" s="51">
        <f>MEDIAN(F17:F23)</f>
        <v>5.9378806333739334E-2</v>
      </c>
      <c r="G26" s="285">
        <f>MEDIAN(G17:G23)</f>
        <v>0.04</v>
      </c>
      <c r="H26" s="285">
        <f>MEDIAN(H17:H23)</f>
        <v>7.0000000000000007E-2</v>
      </c>
      <c r="I26" s="286">
        <f>MEDIAN(I17:I23)</f>
        <v>8.9016005820298283E-2</v>
      </c>
      <c r="J26" s="286">
        <f>MEDIAN(J17:J23)</f>
        <v>0.12659956745965728</v>
      </c>
      <c r="K26" s="11"/>
    </row>
    <row r="27" spans="1:11" ht="16.5">
      <c r="A27" s="11"/>
      <c r="B27" s="11"/>
      <c r="D27" s="20" t="s">
        <v>0</v>
      </c>
      <c r="E27" s="13" t="s">
        <v>387</v>
      </c>
      <c r="F27" s="51">
        <f>AVERAGE(F17:F23)</f>
        <v>5.8029223792647626E-2</v>
      </c>
      <c r="G27" s="51">
        <f>AVERAGE(G17:G23)</f>
        <v>4.1428571428571433E-2</v>
      </c>
      <c r="H27" s="285">
        <f>AVERAGE(H17:H23)</f>
        <v>7.3571428571428579E-2</v>
      </c>
      <c r="I27" s="286">
        <f>AVERAGE(I17:I23)</f>
        <v>9.9457795221219072E-2</v>
      </c>
      <c r="J27" s="286">
        <f>AVERAGE(J17:J23)</f>
        <v>0.13160065236407617</v>
      </c>
      <c r="K27" s="11"/>
    </row>
    <row r="28" spans="1:11" ht="16.5">
      <c r="A28" s="11"/>
      <c r="B28" s="11"/>
      <c r="D28" s="20"/>
      <c r="E28" s="13"/>
      <c r="F28" s="17"/>
      <c r="G28" s="17"/>
      <c r="H28" s="18"/>
      <c r="I28" s="19"/>
      <c r="J28" s="19"/>
      <c r="K28" s="11"/>
    </row>
    <row r="29" spans="1:11" ht="17.25" thickBo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</row>
    <row r="30" spans="1:11" ht="27" thickBot="1">
      <c r="A30" s="11"/>
      <c r="B30" s="11"/>
      <c r="C30" s="11"/>
      <c r="D30" s="11"/>
      <c r="E30" s="11"/>
      <c r="F30" s="11"/>
      <c r="G30" s="167" t="s">
        <v>171</v>
      </c>
      <c r="H30" s="169"/>
      <c r="I30" s="287">
        <v>9.9500000000000005E-2</v>
      </c>
      <c r="J30" s="11"/>
      <c r="K30" s="11"/>
    </row>
    <row r="31" spans="1:11" ht="20.25" customHeight="1" thickBo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</row>
    <row r="32" spans="1:11" ht="27" thickBot="1">
      <c r="A32" s="11"/>
      <c r="B32" s="11"/>
      <c r="C32" s="11"/>
      <c r="D32" s="11"/>
      <c r="E32" s="11"/>
      <c r="F32" s="11"/>
      <c r="G32" s="167" t="s">
        <v>170</v>
      </c>
      <c r="H32" s="170"/>
      <c r="I32" s="287">
        <v>0.13159999999999999</v>
      </c>
      <c r="J32" s="11"/>
      <c r="K32" s="11"/>
    </row>
    <row r="33" spans="1:10" ht="16.5">
      <c r="A33" s="11"/>
      <c r="B33" s="11"/>
      <c r="C33" s="11"/>
      <c r="D33" s="11"/>
      <c r="E33" s="11"/>
      <c r="F33" s="11"/>
      <c r="G33" s="11"/>
      <c r="H33" s="11"/>
      <c r="I33" s="11"/>
      <c r="J33" s="11"/>
    </row>
    <row r="34" spans="1:10" ht="26.25">
      <c r="A34" s="22" t="s">
        <v>339</v>
      </c>
      <c r="B34" s="11"/>
      <c r="C34" s="22" t="s">
        <v>338</v>
      </c>
      <c r="D34" s="11"/>
      <c r="E34" s="11"/>
      <c r="F34" s="11"/>
      <c r="G34" s="11"/>
      <c r="H34" s="11"/>
      <c r="I34" s="11"/>
      <c r="J34" s="11"/>
    </row>
    <row r="35" spans="1:10" ht="17.25">
      <c r="A35" s="59" t="s">
        <v>342</v>
      </c>
      <c r="B35" s="11"/>
      <c r="C35" s="59" t="s">
        <v>342</v>
      </c>
      <c r="D35" s="11"/>
      <c r="E35" s="11"/>
      <c r="F35" s="11"/>
      <c r="G35" s="11"/>
      <c r="H35" s="11"/>
      <c r="I35" s="11"/>
      <c r="J35" s="11"/>
    </row>
    <row r="36" spans="1:10" ht="17.25">
      <c r="A36" s="59" t="s">
        <v>341</v>
      </c>
      <c r="B36" s="11"/>
      <c r="C36" s="59" t="s">
        <v>340</v>
      </c>
      <c r="D36" s="11"/>
      <c r="E36" s="11"/>
      <c r="F36" s="11"/>
      <c r="G36" s="11"/>
      <c r="H36" s="11"/>
      <c r="I36" s="11"/>
      <c r="J36" s="11"/>
    </row>
    <row r="37" spans="1:10" ht="16.5">
      <c r="A37" s="41"/>
      <c r="B37" s="11"/>
      <c r="C37" s="41"/>
      <c r="D37" s="11"/>
      <c r="E37" s="11"/>
      <c r="F37" s="11"/>
      <c r="G37" s="11"/>
      <c r="H37" s="11"/>
      <c r="I37" s="11"/>
      <c r="J37" s="11"/>
    </row>
    <row r="38" spans="1:10" ht="16.5">
      <c r="A38" s="41"/>
      <c r="B38" s="11"/>
      <c r="C38" s="41"/>
      <c r="D38" s="11"/>
      <c r="E38" s="11"/>
      <c r="F38" s="11"/>
      <c r="G38" s="11"/>
      <c r="H38" s="11"/>
      <c r="I38" s="11"/>
      <c r="J38" s="11"/>
    </row>
    <row r="39" spans="1:10" ht="26.25">
      <c r="A39" s="22" t="s">
        <v>193</v>
      </c>
      <c r="B39" s="11"/>
      <c r="C39" s="22" t="s">
        <v>193</v>
      </c>
      <c r="D39" s="11"/>
      <c r="E39" s="11"/>
      <c r="F39" s="11"/>
      <c r="G39" s="11"/>
      <c r="H39" s="11"/>
      <c r="I39" s="11"/>
      <c r="J39" s="11"/>
    </row>
    <row r="40" spans="1:10" ht="16.5">
      <c r="A40" s="41"/>
      <c r="B40" s="11"/>
      <c r="C40" s="41"/>
      <c r="D40" s="11"/>
      <c r="E40" s="11"/>
      <c r="F40" s="11"/>
      <c r="G40" s="11"/>
      <c r="H40" s="11"/>
      <c r="I40" s="11"/>
      <c r="J40" s="11"/>
    </row>
    <row r="41" spans="1:10" ht="17.25">
      <c r="A41" s="59" t="s">
        <v>194</v>
      </c>
      <c r="B41" s="11"/>
      <c r="C41" s="59" t="s">
        <v>194</v>
      </c>
      <c r="D41" s="11"/>
      <c r="E41" s="11"/>
      <c r="F41" s="11"/>
      <c r="G41" s="11"/>
      <c r="H41" s="11"/>
      <c r="I41" s="11"/>
      <c r="J41" s="11"/>
    </row>
    <row r="42" spans="1:10" ht="17.25">
      <c r="A42" s="59" t="s">
        <v>192</v>
      </c>
      <c r="B42" s="11"/>
      <c r="C42" s="59" t="s">
        <v>192</v>
      </c>
      <c r="D42" s="11"/>
      <c r="E42" s="11"/>
      <c r="F42" s="11"/>
      <c r="G42" s="11"/>
      <c r="H42" s="11"/>
      <c r="I42" s="11"/>
      <c r="J42" s="11"/>
    </row>
    <row r="43" spans="1:10" ht="17.25">
      <c r="A43" s="59" t="s">
        <v>195</v>
      </c>
      <c r="B43" s="11"/>
      <c r="C43" s="59" t="s">
        <v>195</v>
      </c>
      <c r="D43" s="11"/>
      <c r="E43" s="11"/>
      <c r="F43" s="11"/>
      <c r="G43" s="11"/>
      <c r="H43" s="11"/>
      <c r="I43" s="11"/>
      <c r="J43" s="11"/>
    </row>
    <row r="44" spans="1:10" ht="17.25">
      <c r="A44" s="59" t="s">
        <v>344</v>
      </c>
      <c r="B44" s="11"/>
      <c r="C44" s="59" t="s">
        <v>343</v>
      </c>
      <c r="D44" s="11"/>
      <c r="E44" s="11"/>
      <c r="F44" s="11"/>
      <c r="G44" s="11"/>
      <c r="H44" s="11"/>
      <c r="I44" s="11"/>
      <c r="J44" s="11"/>
    </row>
    <row r="45" spans="1:10" ht="17.25">
      <c r="A45" s="59"/>
      <c r="B45" s="11"/>
      <c r="C45" s="59"/>
      <c r="D45" s="11"/>
      <c r="E45" s="11"/>
      <c r="F45" s="11"/>
      <c r="G45" s="11"/>
      <c r="H45" s="11"/>
      <c r="I45" s="11"/>
      <c r="J45" s="11"/>
    </row>
  </sheetData>
  <phoneticPr fontId="79" type="noConversion"/>
  <pageMargins left="0.25" right="0.25" top="0.75" bottom="0.75" header="0.3" footer="0.3"/>
  <pageSetup scale="4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150D5-3409-4DE1-88B0-B66A1BCAC2E5}">
  <sheetPr>
    <tabColor rgb="FF92D050"/>
  </sheetPr>
  <dimension ref="A1:K107"/>
  <sheetViews>
    <sheetView view="pageBreakPreview" topLeftCell="A11" zoomScale="70" zoomScaleNormal="80" zoomScaleSheetLayoutView="70" workbookViewId="0">
      <selection activeCell="H35" sqref="H35"/>
    </sheetView>
  </sheetViews>
  <sheetFormatPr defaultRowHeight="15"/>
  <cols>
    <col min="1" max="1" width="47.85546875" customWidth="1"/>
    <col min="2" max="2" width="15.28515625" customWidth="1"/>
    <col min="3" max="3" width="24.5703125" customWidth="1"/>
    <col min="4" max="4" width="26.5703125" customWidth="1"/>
    <col min="5" max="5" width="32.28515625" customWidth="1"/>
    <col min="6" max="6" width="22.42578125" customWidth="1"/>
    <col min="7" max="7" width="27" customWidth="1"/>
    <col min="8" max="8" width="39.85546875" customWidth="1"/>
    <col min="9" max="9" width="15.28515625" customWidth="1"/>
    <col min="10" max="10" width="24.5703125" customWidth="1"/>
    <col min="11" max="11" width="24.140625" customWidth="1"/>
    <col min="13" max="13" width="10.5703125" customWidth="1"/>
  </cols>
  <sheetData>
    <row r="1" spans="1:9" ht="26.25">
      <c r="A1" s="22" t="s">
        <v>1</v>
      </c>
      <c r="B1" s="11"/>
      <c r="C1" s="11"/>
      <c r="D1" s="11"/>
      <c r="E1" s="11"/>
      <c r="F1" s="11"/>
      <c r="G1" s="11"/>
      <c r="H1" s="11"/>
      <c r="I1" s="11"/>
    </row>
    <row r="2" spans="1:9" ht="17.25">
      <c r="A2" s="23" t="s">
        <v>9</v>
      </c>
      <c r="B2" s="11"/>
      <c r="C2" s="11"/>
      <c r="D2" s="11"/>
      <c r="E2" s="11"/>
      <c r="F2" s="11"/>
      <c r="G2" s="11"/>
      <c r="H2" s="11"/>
      <c r="I2" s="11"/>
    </row>
    <row r="3" spans="1:9" ht="16.5">
      <c r="A3" s="24" t="s">
        <v>465</v>
      </c>
      <c r="B3" s="11"/>
      <c r="C3" s="11"/>
      <c r="D3" s="11"/>
      <c r="E3" s="11"/>
      <c r="F3" s="11"/>
      <c r="G3" s="11"/>
      <c r="H3" s="11"/>
      <c r="I3" s="11"/>
    </row>
    <row r="4" spans="1:9" ht="16.5">
      <c r="A4" s="24"/>
      <c r="B4" s="11"/>
      <c r="C4" s="11"/>
      <c r="D4" s="11"/>
      <c r="E4" s="11"/>
      <c r="F4" s="11"/>
      <c r="G4" s="11"/>
      <c r="H4" s="11"/>
      <c r="I4" s="11"/>
    </row>
    <row r="5" spans="1:9" ht="17.25" thickBot="1">
      <c r="A5" s="11"/>
      <c r="B5" s="11"/>
      <c r="C5" s="11"/>
      <c r="D5" s="11"/>
      <c r="E5" s="11"/>
      <c r="F5" s="11"/>
      <c r="G5" s="11"/>
      <c r="H5" s="11"/>
      <c r="I5" s="25"/>
    </row>
    <row r="6" spans="1:9" ht="21" thickBot="1">
      <c r="A6" s="234" t="str">
        <f>+'S&amp;D'!A12</f>
        <v>Natural Gas Transmission Pipeline Carrier</v>
      </c>
      <c r="B6" s="170"/>
      <c r="C6" s="11"/>
      <c r="D6" s="11"/>
      <c r="E6" s="11"/>
      <c r="F6" s="11"/>
      <c r="G6" s="11"/>
      <c r="H6" s="11"/>
      <c r="I6" s="11"/>
    </row>
    <row r="7" spans="1:9" ht="20.25">
      <c r="A7" s="28"/>
      <c r="B7" s="11"/>
      <c r="C7" s="11"/>
      <c r="D7" s="11"/>
      <c r="E7" s="11"/>
      <c r="F7" s="11"/>
      <c r="G7" s="11"/>
      <c r="H7" s="11"/>
      <c r="I7" s="11"/>
    </row>
    <row r="8" spans="1:9" ht="21" thickBot="1">
      <c r="A8" s="28"/>
      <c r="B8" s="11"/>
      <c r="C8" s="11"/>
      <c r="D8" s="27"/>
      <c r="E8" s="27"/>
      <c r="F8" s="27"/>
      <c r="G8" s="11"/>
      <c r="H8" s="11"/>
      <c r="I8" s="11"/>
    </row>
    <row r="9" spans="1:9" ht="26.25">
      <c r="A9" s="28"/>
      <c r="B9" s="11"/>
      <c r="C9" s="11"/>
      <c r="D9" s="11"/>
      <c r="E9" s="29" t="s">
        <v>172</v>
      </c>
      <c r="F9" s="11"/>
      <c r="G9" s="11"/>
      <c r="H9" s="11"/>
      <c r="I9" s="11"/>
    </row>
    <row r="10" spans="1:9" ht="21" thickBot="1">
      <c r="A10" s="28"/>
      <c r="B10" s="11"/>
      <c r="C10" s="11"/>
      <c r="D10" s="27"/>
      <c r="E10" s="30" t="s">
        <v>477</v>
      </c>
      <c r="F10" s="27"/>
      <c r="G10" s="11"/>
      <c r="H10" s="11"/>
      <c r="I10" s="11"/>
    </row>
    <row r="11" spans="1:9" ht="20.25">
      <c r="A11" s="28"/>
      <c r="B11" s="11"/>
      <c r="C11" s="11"/>
      <c r="D11" s="11"/>
      <c r="E11" s="11"/>
      <c r="F11" s="32"/>
      <c r="G11" s="32"/>
      <c r="H11" s="11"/>
      <c r="I11" s="11"/>
    </row>
    <row r="12" spans="1:9" ht="20.25">
      <c r="A12" s="28"/>
      <c r="B12" s="11"/>
      <c r="C12" s="11"/>
      <c r="D12" s="11" t="s">
        <v>0</v>
      </c>
      <c r="E12" s="11"/>
      <c r="F12" s="32"/>
      <c r="G12" s="32"/>
      <c r="H12" s="11"/>
      <c r="I12" s="11"/>
    </row>
    <row r="13" spans="1:9" ht="45.75" customHeight="1" thickBot="1">
      <c r="A13" s="31" t="s">
        <v>0</v>
      </c>
      <c r="B13" s="31" t="s">
        <v>0</v>
      </c>
      <c r="C13" s="31" t="s">
        <v>0</v>
      </c>
      <c r="D13" s="27"/>
      <c r="E13" s="27"/>
      <c r="F13" s="31" t="s">
        <v>0</v>
      </c>
      <c r="G13" s="31"/>
      <c r="H13" s="31"/>
      <c r="I13" s="11"/>
    </row>
    <row r="14" spans="1:9" ht="16.5">
      <c r="A14" s="32" t="s">
        <v>0</v>
      </c>
      <c r="B14" s="32" t="s">
        <v>3</v>
      </c>
      <c r="C14" s="32" t="s">
        <v>5</v>
      </c>
      <c r="D14" s="32" t="s">
        <v>168</v>
      </c>
      <c r="E14" s="32" t="s">
        <v>169</v>
      </c>
      <c r="F14" s="32" t="s">
        <v>173</v>
      </c>
      <c r="G14" s="32" t="s">
        <v>19</v>
      </c>
      <c r="H14" s="32" t="s">
        <v>175</v>
      </c>
      <c r="I14" s="11"/>
    </row>
    <row r="15" spans="1:9" ht="16.5">
      <c r="A15" s="32" t="s">
        <v>2</v>
      </c>
      <c r="B15" s="32" t="s">
        <v>4</v>
      </c>
      <c r="C15" s="32" t="s">
        <v>6</v>
      </c>
      <c r="D15" s="32" t="s">
        <v>360</v>
      </c>
      <c r="E15" s="32" t="s">
        <v>361</v>
      </c>
      <c r="F15" s="32" t="s">
        <v>122</v>
      </c>
      <c r="G15" s="32" t="s">
        <v>174</v>
      </c>
      <c r="H15" s="32" t="s">
        <v>163</v>
      </c>
      <c r="I15" s="11"/>
    </row>
    <row r="16" spans="1:9" ht="16.5">
      <c r="A16" s="32"/>
      <c r="B16" s="32" t="s">
        <v>0</v>
      </c>
      <c r="C16" s="32" t="s">
        <v>0</v>
      </c>
      <c r="D16" s="32" t="s">
        <v>0</v>
      </c>
      <c r="E16" s="33" t="s">
        <v>362</v>
      </c>
      <c r="F16" s="33" t="s">
        <v>0</v>
      </c>
      <c r="G16" s="32" t="s">
        <v>179</v>
      </c>
      <c r="H16" s="33" t="s">
        <v>180</v>
      </c>
      <c r="I16" s="11"/>
    </row>
    <row r="17" spans="1:11" ht="18" customHeight="1" thickBot="1">
      <c r="A17" s="63" t="s">
        <v>0</v>
      </c>
      <c r="B17" s="35" t="s">
        <v>0</v>
      </c>
      <c r="C17" s="35" t="s">
        <v>0</v>
      </c>
      <c r="D17" s="30" t="s">
        <v>177</v>
      </c>
      <c r="E17" s="30" t="s">
        <v>178</v>
      </c>
      <c r="F17" s="30" t="s">
        <v>176</v>
      </c>
      <c r="G17" s="32" t="s">
        <v>93</v>
      </c>
      <c r="H17" s="137"/>
      <c r="I17" s="11"/>
    </row>
    <row r="18" spans="1:11" ht="16.5">
      <c r="A18" s="36" t="s">
        <v>0</v>
      </c>
      <c r="B18" s="36" t="s">
        <v>0</v>
      </c>
      <c r="C18" s="36" t="s">
        <v>0</v>
      </c>
      <c r="D18" s="36" t="s">
        <v>7</v>
      </c>
      <c r="E18" s="36" t="s">
        <v>7</v>
      </c>
      <c r="F18" s="36" t="s">
        <v>0</v>
      </c>
      <c r="G18" s="64" t="s">
        <v>0</v>
      </c>
      <c r="H18" s="36" t="s">
        <v>0</v>
      </c>
      <c r="I18" s="11"/>
    </row>
    <row r="19" spans="1:11" ht="16.5">
      <c r="A19" s="32"/>
      <c r="B19" s="32"/>
      <c r="C19" s="32"/>
      <c r="D19" s="32"/>
      <c r="E19" s="11"/>
      <c r="F19" s="32"/>
      <c r="G19" s="11"/>
      <c r="H19" s="11"/>
      <c r="I19" s="11"/>
      <c r="J19" t="s">
        <v>0</v>
      </c>
      <c r="K19" t="s">
        <v>0</v>
      </c>
    </row>
    <row r="20" spans="1:11" ht="16.5">
      <c r="A20" s="11"/>
      <c r="B20" s="11"/>
      <c r="C20" s="11"/>
      <c r="D20" s="11"/>
      <c r="E20" s="11"/>
      <c r="F20" s="11"/>
      <c r="G20" s="11"/>
      <c r="H20" s="11" t="s">
        <v>0</v>
      </c>
      <c r="I20" s="11"/>
      <c r="J20" t="s">
        <v>0</v>
      </c>
      <c r="K20" t="s">
        <v>0</v>
      </c>
    </row>
    <row r="21" spans="1:11" ht="17.25">
      <c r="A21" s="59" t="str">
        <f>+'S&amp;D'!A22</f>
        <v>Enbridge Inc</v>
      </c>
      <c r="B21" s="86" t="str">
        <f>+'S&amp;D'!B22</f>
        <v>ENB.TO</v>
      </c>
      <c r="C21" s="32" t="str">
        <f>+'S&amp;D'!C22</f>
        <v>Oil &amp; Gas Distribution</v>
      </c>
      <c r="D21" s="62">
        <f>+'Dividends '!H16</f>
        <v>5.9378806333739334E-2</v>
      </c>
      <c r="E21" s="62">
        <f>+'Single Stage Div Growth Model'!H17</f>
        <v>0.03</v>
      </c>
      <c r="F21" s="172">
        <f>'Growth &amp; Inflation Rates'!$F$56</f>
        <v>4.2900000000000001E-2</v>
      </c>
      <c r="G21" s="62">
        <f t="shared" ref="G21:G24" si="0">(F21+E21)/2</f>
        <v>3.6449999999999996E-2</v>
      </c>
      <c r="H21" s="62">
        <f t="shared" ref="H21:H24" si="1">D21*(1+(0.5*G21))+(0.67*E21)+(0.33*F21)</f>
        <v>9.4717985079171729E-2</v>
      </c>
      <c r="I21" s="11"/>
    </row>
    <row r="22" spans="1:11" ht="17.25">
      <c r="A22" s="59" t="str">
        <f>+'S&amp;D'!A23</f>
        <v>Energy Transfer LP</v>
      </c>
      <c r="B22" s="86" t="str">
        <f>+'S&amp;D'!B23</f>
        <v>ET</v>
      </c>
      <c r="C22" s="32" t="str">
        <f>+'S&amp;D'!C23</f>
        <v>Pipeline MLPs</v>
      </c>
      <c r="D22" s="62">
        <f>+'Dividends '!H17</f>
        <v>8.4899939357186177E-2</v>
      </c>
      <c r="E22" s="62">
        <f>+'Single Stage Div Growth Model'!H18</f>
        <v>7.0000000000000007E-2</v>
      </c>
      <c r="F22" s="172">
        <f>'Growth &amp; Inflation Rates'!$F$56</f>
        <v>4.2900000000000001E-2</v>
      </c>
      <c r="G22" s="62">
        <f t="shared" si="0"/>
        <v>5.645E-2</v>
      </c>
      <c r="H22" s="62">
        <f t="shared" si="1"/>
        <v>0.14835324014554277</v>
      </c>
      <c r="I22" s="11"/>
    </row>
    <row r="23" spans="1:11" ht="17.25">
      <c r="A23" s="59" t="str">
        <f>+'S&amp;D'!A24</f>
        <v>Enterprise Products Partnership LP</v>
      </c>
      <c r="B23" s="86" t="str">
        <f>+'S&amp;D'!B24</f>
        <v>EPD</v>
      </c>
      <c r="C23" s="32" t="str">
        <f>+'S&amp;D'!C24</f>
        <v>Pipeline MLPs</v>
      </c>
      <c r="D23" s="62">
        <f>+'Dividends '!H18</f>
        <v>7.2364316905801612E-2</v>
      </c>
      <c r="E23" s="62">
        <f>+'Single Stage Div Growth Model'!H19</f>
        <v>5.5E-2</v>
      </c>
      <c r="F23" s="172">
        <f>'Growth &amp; Inflation Rates'!$F$56</f>
        <v>4.2900000000000001E-2</v>
      </c>
      <c r="G23" s="62">
        <f t="shared" si="0"/>
        <v>4.895E-2</v>
      </c>
      <c r="H23" s="62">
        <f t="shared" si="1"/>
        <v>0.12514243356207111</v>
      </c>
      <c r="I23" s="11"/>
    </row>
    <row r="24" spans="1:11" ht="17.25">
      <c r="A24" s="59" t="str">
        <f>+'S&amp;D'!A25</f>
        <v>Kinder Morgan Inc</v>
      </c>
      <c r="B24" s="86" t="str">
        <f>+'S&amp;D'!B25</f>
        <v>KMI</v>
      </c>
      <c r="C24" s="32" t="str">
        <f>+'S&amp;D'!C25</f>
        <v>Oil &amp; Gas Distribution</v>
      </c>
      <c r="D24" s="62">
        <f>+'Dividends '!H19</f>
        <v>4.4016005820298292E-2</v>
      </c>
      <c r="E24" s="62">
        <f>+'Single Stage Div Growth Model'!H20</f>
        <v>0.08</v>
      </c>
      <c r="F24" s="172">
        <f>'Growth &amp; Inflation Rates'!$F$56</f>
        <v>4.2900000000000001E-2</v>
      </c>
      <c r="G24" s="62">
        <f t="shared" si="0"/>
        <v>6.1450000000000005E-2</v>
      </c>
      <c r="H24" s="62">
        <f t="shared" si="1"/>
        <v>0.11312539759912696</v>
      </c>
      <c r="I24" s="11"/>
    </row>
    <row r="25" spans="1:11" ht="17.25">
      <c r="A25" s="59" t="str">
        <f>+'S&amp;D'!A26</f>
        <v>ONEOK Inc</v>
      </c>
      <c r="B25" s="86" t="str">
        <f>+'S&amp;D'!B26</f>
        <v>OKE</v>
      </c>
      <c r="C25" s="32" t="str">
        <f>+'S&amp;D'!C26</f>
        <v>Oil &amp; Gas Distribution</v>
      </c>
      <c r="D25" s="62">
        <f>+'Dividends '!H20</f>
        <v>5.9863945578231298E-2</v>
      </c>
      <c r="E25" s="62">
        <f>+'Single Stage Div Growth Model'!H21</f>
        <v>0.12</v>
      </c>
      <c r="F25" s="172">
        <f>'Growth &amp; Inflation Rates'!$F$56</f>
        <v>4.2900000000000001E-2</v>
      </c>
      <c r="G25" s="62">
        <f t="shared" ref="G25:G27" si="2">(F25+E25)/2</f>
        <v>8.1449999999999995E-2</v>
      </c>
      <c r="H25" s="62">
        <f t="shared" ref="H25:H27" si="3">D25*(1+(0.5*G25))+(0.67*E25)+(0.33*F25)</f>
        <v>0.15685890476190475</v>
      </c>
      <c r="I25" s="11"/>
      <c r="J25" t="s">
        <v>0</v>
      </c>
      <c r="K25" t="s">
        <v>0</v>
      </c>
    </row>
    <row r="26" spans="1:11" ht="17.25">
      <c r="A26" s="59" t="str">
        <f>+'S&amp;D'!A27</f>
        <v>TC Energy Corp</v>
      </c>
      <c r="B26" s="86" t="str">
        <f>+'S&amp;D'!B27</f>
        <v>TRP</v>
      </c>
      <c r="C26" s="32" t="str">
        <f>+'S&amp;D'!C27</f>
        <v>Oil &amp; Gas Distribution</v>
      </c>
      <c r="D26" s="62">
        <f>+'Dividends '!H21</f>
        <v>4.908198509361935E-2</v>
      </c>
      <c r="E26" s="62">
        <f>+'Single Stage Div Growth Model'!H22</f>
        <v>7.0000000000000007E-2</v>
      </c>
      <c r="F26" s="172">
        <f>'Growth &amp; Inflation Rates'!$F$56</f>
        <v>4.2900000000000001E-2</v>
      </c>
      <c r="G26" s="62">
        <f t="shared" si="2"/>
        <v>5.645E-2</v>
      </c>
      <c r="H26" s="62">
        <f t="shared" si="3"/>
        <v>0.11152432412288676</v>
      </c>
      <c r="I26" s="11"/>
      <c r="J26" t="s">
        <v>0</v>
      </c>
      <c r="K26" t="s">
        <v>0</v>
      </c>
    </row>
    <row r="27" spans="1:11" ht="18" thickBot="1">
      <c r="A27" s="59" t="str">
        <f>+'S&amp;D'!A28</f>
        <v>Williams Companys Inc</v>
      </c>
      <c r="B27" s="86" t="str">
        <f>+'S&amp;D'!B28</f>
        <v>WMB</v>
      </c>
      <c r="C27" s="32" t="str">
        <f>+'S&amp;D'!C28</f>
        <v>Oil &amp; Gas Distribution</v>
      </c>
      <c r="D27" s="62">
        <f>+'Dividends '!H22</f>
        <v>3.6599567459657298E-2</v>
      </c>
      <c r="E27" s="62">
        <f>+'Single Stage Div Growth Model'!H23</f>
        <v>0.09</v>
      </c>
      <c r="F27" s="172">
        <f>'Growth &amp; Inflation Rates'!$F$56</f>
        <v>4.2900000000000001E-2</v>
      </c>
      <c r="G27" s="62">
        <f t="shared" si="2"/>
        <v>6.6449999999999995E-2</v>
      </c>
      <c r="H27" s="316">
        <f t="shared" si="3"/>
        <v>0.11227258808850442</v>
      </c>
      <c r="I27" s="11"/>
      <c r="J27" t="s">
        <v>0</v>
      </c>
      <c r="K27" t="s">
        <v>0</v>
      </c>
    </row>
    <row r="28" spans="1:11" ht="17.25" thickTop="1">
      <c r="A28" s="11"/>
      <c r="B28" s="11"/>
      <c r="C28" s="11"/>
      <c r="D28" s="11"/>
      <c r="E28" s="11"/>
      <c r="F28" s="11"/>
      <c r="G28" s="162" t="s">
        <v>45</v>
      </c>
      <c r="H28" s="52">
        <f>+MAX(H21:H27)</f>
        <v>0.15685890476190475</v>
      </c>
      <c r="I28" s="11"/>
    </row>
    <row r="29" spans="1:11" ht="16.5">
      <c r="A29" s="11"/>
      <c r="B29" s="11"/>
      <c r="C29" s="13" t="s">
        <v>0</v>
      </c>
      <c r="D29" s="14" t="s">
        <v>0</v>
      </c>
      <c r="E29" s="14" t="s">
        <v>0</v>
      </c>
      <c r="F29" s="15" t="s">
        <v>0</v>
      </c>
      <c r="G29" s="15" t="s">
        <v>46</v>
      </c>
      <c r="H29" s="278">
        <f>MIN(H21:H27)</f>
        <v>9.4717985079171729E-2</v>
      </c>
      <c r="I29" s="11"/>
    </row>
    <row r="30" spans="1:11" ht="16.5">
      <c r="A30" s="11"/>
      <c r="B30" s="11"/>
      <c r="D30" s="52" t="s">
        <v>0</v>
      </c>
      <c r="E30" s="47" t="s">
        <v>0</v>
      </c>
      <c r="F30" s="47" t="s">
        <v>0</v>
      </c>
      <c r="G30" s="13" t="s">
        <v>18</v>
      </c>
      <c r="H30" s="48">
        <f>MEDIAN(H21:H27)</f>
        <v>0.11312539759912696</v>
      </c>
      <c r="I30" s="11"/>
    </row>
    <row r="31" spans="1:11" ht="16.5">
      <c r="A31" s="11"/>
      <c r="B31" s="11"/>
      <c r="D31" s="52" t="s">
        <v>0</v>
      </c>
      <c r="E31" s="47" t="s">
        <v>0</v>
      </c>
      <c r="F31" s="52" t="s">
        <v>0</v>
      </c>
      <c r="G31" s="13" t="s">
        <v>387</v>
      </c>
      <c r="H31" s="48">
        <f>AVERAGE(H21:H27)</f>
        <v>0.12314212476560123</v>
      </c>
      <c r="I31" s="11"/>
    </row>
    <row r="32" spans="1:11" ht="16.5">
      <c r="A32" s="11"/>
      <c r="B32" s="11"/>
      <c r="C32" s="13"/>
      <c r="D32" s="17"/>
      <c r="E32" s="18"/>
      <c r="F32" s="17"/>
      <c r="G32" s="19"/>
      <c r="H32" s="19"/>
      <c r="I32" s="11"/>
    </row>
    <row r="33" spans="1:9" ht="17.25" thickBot="1">
      <c r="A33" s="11"/>
      <c r="B33" s="11"/>
      <c r="C33" s="11"/>
      <c r="D33" s="11"/>
      <c r="E33" s="11"/>
      <c r="F33" s="11"/>
      <c r="G33" s="11"/>
      <c r="H33" s="11"/>
      <c r="I33" s="11"/>
    </row>
    <row r="34" spans="1:9" ht="27" thickBot="1">
      <c r="A34" s="11"/>
      <c r="B34" s="11"/>
      <c r="C34" s="11"/>
      <c r="D34" s="11"/>
      <c r="F34" s="167"/>
      <c r="G34" s="168" t="s">
        <v>225</v>
      </c>
      <c r="H34" s="289">
        <v>0.1231</v>
      </c>
      <c r="I34" s="11"/>
    </row>
    <row r="35" spans="1:9" ht="16.5">
      <c r="A35" s="11"/>
      <c r="B35" s="11"/>
      <c r="C35" s="11"/>
      <c r="D35" s="11"/>
      <c r="E35" s="11"/>
      <c r="F35" s="11"/>
      <c r="G35" s="11"/>
      <c r="H35" s="11"/>
      <c r="I35" s="11"/>
    </row>
    <row r="36" spans="1:9" ht="27">
      <c r="A36" s="22" t="s">
        <v>0</v>
      </c>
      <c r="B36" s="11"/>
      <c r="C36" s="11"/>
      <c r="D36" s="11"/>
      <c r="E36" s="11"/>
      <c r="F36" s="11"/>
      <c r="G36" s="21" t="s">
        <v>0</v>
      </c>
      <c r="H36" s="11"/>
      <c r="I36" s="11"/>
    </row>
    <row r="37" spans="1:9" ht="16.5">
      <c r="A37" s="41"/>
      <c r="B37" s="11"/>
      <c r="C37" s="11"/>
      <c r="D37" s="11"/>
      <c r="E37" s="11"/>
      <c r="F37" s="11"/>
      <c r="G37" s="11"/>
      <c r="H37" s="11"/>
      <c r="I37" s="11"/>
    </row>
    <row r="38" spans="1:9" ht="26.25">
      <c r="A38" s="22" t="s">
        <v>289</v>
      </c>
      <c r="B38" s="11"/>
      <c r="C38" s="11"/>
      <c r="D38" s="11"/>
      <c r="E38" s="11"/>
      <c r="F38" s="11"/>
      <c r="G38" s="11"/>
      <c r="H38" s="11"/>
      <c r="I38" s="11"/>
    </row>
    <row r="39" spans="1:9" ht="16.5">
      <c r="A39" s="41"/>
      <c r="B39" s="11"/>
      <c r="C39" s="11"/>
      <c r="D39" s="11"/>
      <c r="E39" s="11"/>
      <c r="F39" s="11"/>
      <c r="G39" s="11"/>
      <c r="H39" s="11"/>
      <c r="I39" s="11"/>
    </row>
    <row r="40" spans="1:9" ht="17.25">
      <c r="A40" s="59" t="s">
        <v>194</v>
      </c>
      <c r="B40" s="11"/>
      <c r="C40" s="11"/>
      <c r="D40" s="11"/>
      <c r="E40" s="11"/>
      <c r="F40" s="11"/>
      <c r="G40" s="11"/>
      <c r="H40" s="11"/>
      <c r="I40" s="11"/>
    </row>
    <row r="41" spans="1:9" ht="17.25">
      <c r="A41" s="59" t="s">
        <v>292</v>
      </c>
      <c r="B41" s="11"/>
      <c r="C41" s="11"/>
      <c r="D41" s="11"/>
      <c r="E41" s="11"/>
      <c r="F41" s="11"/>
      <c r="G41" s="11"/>
      <c r="H41" s="11"/>
      <c r="I41" s="11"/>
    </row>
    <row r="42" spans="1:9" ht="17.25">
      <c r="A42" s="59" t="s">
        <v>290</v>
      </c>
      <c r="B42" s="11"/>
      <c r="C42" s="11"/>
      <c r="D42" s="11"/>
      <c r="E42" s="11"/>
      <c r="F42" s="11"/>
      <c r="G42" s="11"/>
      <c r="H42" s="11"/>
      <c r="I42" s="11"/>
    </row>
    <row r="43" spans="1:9" ht="17.25">
      <c r="A43" s="59" t="s">
        <v>291</v>
      </c>
      <c r="B43" s="11"/>
      <c r="C43" s="11"/>
      <c r="D43" s="11"/>
      <c r="E43" s="11"/>
      <c r="F43" s="11"/>
      <c r="G43" s="11"/>
      <c r="H43" s="11"/>
      <c r="I43" s="11"/>
    </row>
    <row r="44" spans="1:9" ht="17.25">
      <c r="A44" s="59" t="s">
        <v>293</v>
      </c>
      <c r="B44" s="11"/>
      <c r="C44" s="11"/>
      <c r="D44" s="11"/>
      <c r="E44" s="11"/>
      <c r="F44" s="11"/>
      <c r="G44" s="11"/>
      <c r="H44" s="11"/>
      <c r="I44" s="11"/>
    </row>
    <row r="45" spans="1:9" ht="16.5">
      <c r="A45" s="11"/>
      <c r="B45" s="11"/>
      <c r="C45" s="11"/>
      <c r="D45" s="11"/>
      <c r="E45" s="11"/>
      <c r="F45" s="11"/>
      <c r="G45" s="11"/>
      <c r="H45" s="11"/>
      <c r="I45" s="11"/>
    </row>
    <row r="46" spans="1:9" ht="16.5">
      <c r="A46" s="11"/>
      <c r="B46" s="11"/>
      <c r="C46" s="11"/>
      <c r="D46" s="11"/>
      <c r="E46" s="11"/>
      <c r="F46" s="11"/>
      <c r="G46" s="11"/>
      <c r="H46" s="11"/>
      <c r="I46" s="11"/>
    </row>
    <row r="47" spans="1:9" ht="16.5">
      <c r="A47" s="11"/>
      <c r="B47" s="11"/>
      <c r="C47" s="11"/>
      <c r="D47" s="11"/>
      <c r="E47" s="11"/>
      <c r="F47" s="11"/>
      <c r="G47" s="11"/>
      <c r="H47" s="11"/>
      <c r="I47" s="11"/>
    </row>
    <row r="48" spans="1:9" ht="16.5">
      <c r="A48" s="11"/>
      <c r="B48" s="11"/>
      <c r="C48" s="11"/>
      <c r="D48" s="11"/>
      <c r="E48" s="11"/>
      <c r="F48" s="11"/>
      <c r="G48" s="11"/>
      <c r="H48" s="11"/>
      <c r="I48" s="11"/>
    </row>
    <row r="49" spans="1:9" ht="16.5">
      <c r="A49" s="11"/>
      <c r="B49" s="11"/>
      <c r="C49" s="11"/>
      <c r="D49" s="11"/>
      <c r="E49" s="11"/>
      <c r="F49" s="11"/>
      <c r="G49" s="11"/>
      <c r="H49" s="11"/>
      <c r="I49" s="11"/>
    </row>
    <row r="50" spans="1:9" ht="16.5">
      <c r="A50" s="11"/>
      <c r="B50" s="11"/>
      <c r="C50" s="11"/>
      <c r="D50" s="11"/>
      <c r="E50" s="11"/>
      <c r="F50" s="11"/>
      <c r="G50" s="11"/>
      <c r="H50" s="11"/>
      <c r="I50" s="11"/>
    </row>
    <row r="51" spans="1:9" ht="16.5">
      <c r="A51" s="11"/>
      <c r="B51" s="11"/>
      <c r="C51" s="11"/>
      <c r="D51" s="11"/>
      <c r="E51" s="11"/>
      <c r="F51" s="11"/>
      <c r="G51" s="11"/>
      <c r="H51" s="11"/>
      <c r="I51" s="11"/>
    </row>
    <row r="52" spans="1:9" ht="16.5">
      <c r="A52" s="11"/>
      <c r="B52" s="11"/>
      <c r="C52" s="11"/>
      <c r="D52" s="11"/>
      <c r="E52" s="11"/>
      <c r="F52" s="11"/>
      <c r="G52" s="11"/>
      <c r="H52" s="11"/>
      <c r="I52" s="11"/>
    </row>
    <row r="53" spans="1:9" ht="16.5">
      <c r="A53" s="11"/>
      <c r="B53" s="11"/>
      <c r="C53" s="11"/>
      <c r="D53" s="11"/>
      <c r="E53" s="11"/>
      <c r="F53" s="11"/>
      <c r="G53" s="11"/>
      <c r="H53" s="11"/>
      <c r="I53" s="11"/>
    </row>
    <row r="54" spans="1:9" ht="16.5">
      <c r="A54" s="11"/>
      <c r="B54" s="11"/>
      <c r="C54" s="11"/>
      <c r="D54" s="11"/>
      <c r="E54" s="11"/>
      <c r="F54" s="11"/>
      <c r="G54" s="11"/>
      <c r="H54" s="11"/>
      <c r="I54" s="11"/>
    </row>
    <row r="55" spans="1:9" ht="16.5">
      <c r="A55" s="11"/>
      <c r="B55" s="11"/>
      <c r="C55" s="11"/>
      <c r="D55" s="11"/>
      <c r="E55" s="11"/>
      <c r="F55" s="11"/>
      <c r="G55" s="11"/>
      <c r="H55" s="11"/>
      <c r="I55" s="11"/>
    </row>
    <row r="56" spans="1:9" ht="16.5">
      <c r="A56" s="11"/>
      <c r="B56" s="11"/>
      <c r="C56" s="11"/>
      <c r="D56" s="11"/>
      <c r="E56" s="11"/>
      <c r="F56" s="11"/>
      <c r="G56" s="11"/>
      <c r="H56" s="11"/>
      <c r="I56" s="11"/>
    </row>
    <row r="57" spans="1:9" ht="16.5">
      <c r="A57" s="11"/>
      <c r="B57" s="11"/>
      <c r="C57" s="11"/>
      <c r="D57" s="11"/>
      <c r="E57" s="11"/>
      <c r="F57" s="11"/>
      <c r="G57" s="11"/>
      <c r="H57" s="11"/>
      <c r="I57" s="11"/>
    </row>
    <row r="58" spans="1:9" ht="16.5">
      <c r="A58" s="11"/>
      <c r="B58" s="11"/>
      <c r="C58" s="11"/>
      <c r="D58" s="11"/>
      <c r="E58" s="11"/>
      <c r="F58" s="11"/>
      <c r="G58" s="11"/>
      <c r="H58" s="11"/>
      <c r="I58" s="11"/>
    </row>
    <row r="59" spans="1:9" ht="16.5">
      <c r="A59" s="11"/>
      <c r="B59" s="11"/>
      <c r="C59" s="11"/>
      <c r="D59" s="11"/>
      <c r="E59" s="11"/>
      <c r="F59" s="11"/>
      <c r="G59" s="11"/>
      <c r="H59" s="11"/>
      <c r="I59" s="11"/>
    </row>
    <row r="60" spans="1:9" ht="16.5">
      <c r="A60" s="11"/>
      <c r="B60" s="11"/>
      <c r="C60" s="11"/>
      <c r="D60" s="11"/>
      <c r="E60" s="11"/>
      <c r="F60" s="11"/>
      <c r="G60" s="11"/>
      <c r="H60" s="11"/>
      <c r="I60" s="11"/>
    </row>
    <row r="61" spans="1:9" ht="16.5">
      <c r="A61" s="11"/>
      <c r="B61" s="11"/>
      <c r="C61" s="11"/>
      <c r="D61" s="11"/>
      <c r="E61" s="11"/>
      <c r="F61" s="11"/>
      <c r="G61" s="11"/>
      <c r="H61" s="11"/>
      <c r="I61" s="11"/>
    </row>
    <row r="62" spans="1:9" ht="16.5">
      <c r="A62" s="11"/>
      <c r="B62" s="11"/>
      <c r="C62" s="11"/>
      <c r="D62" s="11"/>
      <c r="E62" s="11"/>
      <c r="F62" s="11"/>
      <c r="G62" s="11"/>
      <c r="H62" s="11"/>
      <c r="I62" s="11"/>
    </row>
    <row r="63" spans="1:9" ht="16.5">
      <c r="A63" s="11"/>
      <c r="B63" s="11"/>
      <c r="C63" s="11"/>
      <c r="D63" s="11"/>
      <c r="E63" s="11"/>
      <c r="F63" s="11"/>
      <c r="G63" s="11"/>
      <c r="H63" s="11"/>
      <c r="I63" s="11"/>
    </row>
    <row r="64" spans="1:9" ht="16.5">
      <c r="A64" s="11"/>
      <c r="B64" s="11"/>
      <c r="C64" s="11"/>
      <c r="D64" s="11"/>
      <c r="E64" s="11"/>
      <c r="F64" s="11"/>
      <c r="G64" s="11"/>
      <c r="H64" s="11"/>
      <c r="I64" s="11"/>
    </row>
    <row r="65" spans="1:9" ht="16.5">
      <c r="A65" s="11"/>
      <c r="B65" s="11"/>
      <c r="C65" s="11"/>
      <c r="D65" s="11"/>
      <c r="E65" s="11"/>
      <c r="F65" s="11"/>
      <c r="G65" s="11"/>
      <c r="H65" s="11"/>
      <c r="I65" s="11"/>
    </row>
    <row r="66" spans="1:9" ht="16.5">
      <c r="A66" s="11"/>
      <c r="B66" s="11"/>
      <c r="C66" s="11"/>
      <c r="D66" s="11"/>
      <c r="E66" s="11"/>
      <c r="F66" s="11"/>
      <c r="G66" s="11"/>
      <c r="H66" s="11"/>
      <c r="I66" s="11"/>
    </row>
    <row r="67" spans="1:9" ht="16.5">
      <c r="A67" s="11"/>
      <c r="B67" s="11"/>
      <c r="C67" s="11"/>
      <c r="D67" s="11"/>
      <c r="E67" s="11"/>
      <c r="F67" s="11"/>
      <c r="G67" s="11"/>
      <c r="H67" s="11"/>
      <c r="I67" s="11"/>
    </row>
    <row r="68" spans="1:9" ht="16.5">
      <c r="A68" s="11"/>
      <c r="B68" s="11"/>
      <c r="C68" s="11"/>
      <c r="D68" s="11"/>
      <c r="E68" s="11"/>
      <c r="F68" s="11"/>
      <c r="G68" s="11"/>
      <c r="H68" s="11"/>
      <c r="I68" s="11"/>
    </row>
    <row r="69" spans="1:9" ht="16.5">
      <c r="A69" s="11"/>
      <c r="B69" s="11"/>
      <c r="C69" s="11"/>
      <c r="D69" s="11"/>
      <c r="E69" s="11"/>
      <c r="F69" s="11"/>
      <c r="G69" s="11"/>
      <c r="H69" s="11"/>
      <c r="I69" s="11"/>
    </row>
    <row r="70" spans="1:9" ht="16.5">
      <c r="A70" s="11"/>
      <c r="B70" s="11"/>
      <c r="C70" s="11"/>
      <c r="D70" s="11"/>
      <c r="E70" s="11"/>
      <c r="F70" s="11"/>
      <c r="G70" s="11"/>
      <c r="H70" s="11"/>
      <c r="I70" s="11"/>
    </row>
    <row r="71" spans="1:9" ht="16.5">
      <c r="A71" s="11"/>
      <c r="B71" s="11"/>
      <c r="C71" s="11"/>
      <c r="D71" s="11"/>
      <c r="E71" s="11"/>
      <c r="F71" s="11"/>
      <c r="G71" s="11"/>
      <c r="H71" s="11"/>
      <c r="I71" s="11"/>
    </row>
    <row r="72" spans="1:9" ht="16.5">
      <c r="A72" s="11"/>
      <c r="B72" s="11"/>
      <c r="C72" s="11"/>
      <c r="D72" s="11"/>
      <c r="E72" s="11"/>
      <c r="F72" s="11"/>
      <c r="G72" s="11"/>
      <c r="H72" s="11"/>
      <c r="I72" s="11"/>
    </row>
    <row r="73" spans="1:9" ht="16.5">
      <c r="A73" s="11"/>
      <c r="B73" s="11"/>
      <c r="C73" s="11"/>
      <c r="D73" s="11"/>
      <c r="E73" s="11"/>
      <c r="F73" s="11"/>
      <c r="G73" s="11"/>
      <c r="H73" s="11"/>
      <c r="I73" s="11"/>
    </row>
    <row r="74" spans="1:9" ht="16.5">
      <c r="A74" s="11"/>
      <c r="B74" s="11"/>
      <c r="C74" s="11"/>
      <c r="D74" s="11"/>
      <c r="E74" s="11"/>
      <c r="F74" s="11"/>
      <c r="G74" s="11"/>
      <c r="H74" s="11"/>
      <c r="I74" s="11"/>
    </row>
    <row r="75" spans="1:9" ht="16.5">
      <c r="A75" s="11"/>
      <c r="B75" s="11"/>
      <c r="C75" s="11"/>
      <c r="D75" s="11"/>
      <c r="E75" s="11"/>
      <c r="F75" s="11"/>
      <c r="G75" s="11"/>
      <c r="H75" s="11"/>
      <c r="I75" s="11"/>
    </row>
    <row r="76" spans="1:9" ht="16.5">
      <c r="A76" s="11"/>
      <c r="B76" s="11"/>
      <c r="C76" s="11"/>
      <c r="D76" s="11"/>
      <c r="E76" s="11"/>
      <c r="F76" s="11"/>
      <c r="G76" s="11"/>
      <c r="H76" s="11"/>
      <c r="I76" s="11"/>
    </row>
    <row r="77" spans="1:9" ht="16.5">
      <c r="A77" s="11"/>
      <c r="B77" s="11"/>
      <c r="C77" s="11"/>
      <c r="D77" s="11"/>
      <c r="E77" s="11"/>
      <c r="F77" s="11"/>
      <c r="G77" s="11"/>
      <c r="H77" s="11"/>
      <c r="I77" s="11"/>
    </row>
    <row r="78" spans="1:9" ht="16.5">
      <c r="A78" s="11"/>
      <c r="B78" s="11"/>
      <c r="C78" s="11"/>
      <c r="D78" s="11"/>
      <c r="E78" s="11"/>
      <c r="F78" s="11"/>
      <c r="G78" s="11"/>
      <c r="H78" s="11"/>
      <c r="I78" s="11"/>
    </row>
    <row r="79" spans="1:9" ht="16.5">
      <c r="A79" s="11"/>
      <c r="B79" s="11"/>
      <c r="C79" s="11"/>
      <c r="D79" s="11"/>
      <c r="E79" s="11"/>
      <c r="F79" s="11"/>
      <c r="G79" s="11"/>
      <c r="H79" s="11"/>
      <c r="I79" s="11"/>
    </row>
    <row r="80" spans="1:9" ht="16.5">
      <c r="A80" s="11"/>
      <c r="B80" s="11"/>
      <c r="C80" s="11"/>
      <c r="D80" s="11"/>
      <c r="E80" s="11"/>
      <c r="F80" s="11"/>
      <c r="G80" s="11"/>
      <c r="H80" s="11"/>
      <c r="I80" s="11"/>
    </row>
    <row r="81" spans="1:9" ht="16.5">
      <c r="A81" s="11"/>
      <c r="B81" s="11"/>
      <c r="C81" s="11"/>
      <c r="D81" s="11"/>
      <c r="E81" s="11"/>
      <c r="F81" s="11"/>
      <c r="G81" s="11"/>
      <c r="H81" s="11"/>
      <c r="I81" s="11"/>
    </row>
    <row r="82" spans="1:9" ht="16.5">
      <c r="A82" s="11"/>
      <c r="B82" s="11"/>
      <c r="C82" s="11"/>
      <c r="D82" s="11"/>
      <c r="E82" s="11"/>
      <c r="F82" s="11"/>
      <c r="G82" s="11"/>
      <c r="H82" s="11"/>
      <c r="I82" s="11"/>
    </row>
    <row r="83" spans="1:9" ht="16.5">
      <c r="A83" s="11"/>
      <c r="B83" s="11"/>
      <c r="C83" s="11"/>
      <c r="D83" s="11"/>
      <c r="E83" s="11"/>
      <c r="F83" s="11"/>
      <c r="G83" s="11"/>
      <c r="H83" s="11"/>
      <c r="I83" s="11"/>
    </row>
    <row r="84" spans="1:9" ht="16.5">
      <c r="A84" s="11"/>
      <c r="B84" s="11"/>
      <c r="C84" s="11"/>
      <c r="D84" s="11"/>
      <c r="E84" s="11"/>
      <c r="F84" s="11"/>
      <c r="G84" s="11"/>
      <c r="H84" s="11"/>
      <c r="I84" s="11"/>
    </row>
    <row r="85" spans="1:9" ht="16.5">
      <c r="A85" s="11"/>
      <c r="B85" s="11"/>
      <c r="C85" s="11"/>
      <c r="D85" s="11"/>
      <c r="E85" s="11"/>
      <c r="F85" s="11"/>
      <c r="G85" s="11"/>
      <c r="H85" s="11"/>
      <c r="I85" s="11"/>
    </row>
    <row r="86" spans="1:9" ht="16.5">
      <c r="A86" s="11"/>
      <c r="B86" s="11"/>
      <c r="C86" s="11"/>
      <c r="D86" s="11"/>
      <c r="E86" s="11"/>
      <c r="F86" s="11"/>
      <c r="G86" s="11"/>
      <c r="H86" s="11"/>
      <c r="I86" s="11"/>
    </row>
    <row r="87" spans="1:9" ht="16.5">
      <c r="A87" s="11"/>
      <c r="B87" s="11"/>
      <c r="C87" s="11"/>
      <c r="D87" s="11"/>
      <c r="E87" s="11"/>
      <c r="F87" s="11"/>
      <c r="G87" s="11"/>
      <c r="H87" s="11"/>
      <c r="I87" s="11"/>
    </row>
    <row r="88" spans="1:9" ht="16.5">
      <c r="A88" s="11"/>
      <c r="B88" s="11"/>
      <c r="C88" s="11"/>
      <c r="D88" s="11"/>
      <c r="E88" s="11"/>
      <c r="F88" s="11"/>
      <c r="G88" s="11"/>
      <c r="H88" s="11"/>
      <c r="I88" s="11"/>
    </row>
    <row r="89" spans="1:9" ht="16.5">
      <c r="A89" s="11"/>
      <c r="B89" s="11"/>
      <c r="C89" s="11"/>
      <c r="D89" s="11"/>
      <c r="E89" s="11"/>
      <c r="F89" s="11"/>
      <c r="G89" s="11"/>
      <c r="H89" s="11"/>
      <c r="I89" s="11"/>
    </row>
    <row r="90" spans="1:9" ht="16.5">
      <c r="A90" s="11"/>
      <c r="B90" s="11"/>
      <c r="C90" s="11"/>
      <c r="D90" s="11"/>
      <c r="E90" s="11"/>
      <c r="F90" s="11"/>
      <c r="G90" s="11"/>
      <c r="H90" s="11"/>
      <c r="I90" s="11"/>
    </row>
    <row r="91" spans="1:9" ht="16.5">
      <c r="A91" s="11"/>
      <c r="B91" s="11"/>
      <c r="C91" s="11"/>
      <c r="D91" s="11"/>
      <c r="E91" s="11"/>
      <c r="F91" s="11"/>
      <c r="G91" s="11"/>
      <c r="H91" s="11"/>
      <c r="I91" s="11"/>
    </row>
    <row r="92" spans="1:9" ht="16.5">
      <c r="A92" s="11"/>
      <c r="B92" s="11"/>
      <c r="C92" s="11"/>
      <c r="D92" s="11"/>
      <c r="E92" s="11"/>
      <c r="F92" s="11"/>
      <c r="G92" s="11"/>
      <c r="H92" s="11"/>
      <c r="I92" s="11"/>
    </row>
    <row r="93" spans="1:9" ht="16.5">
      <c r="A93" s="11"/>
      <c r="B93" s="11"/>
      <c r="C93" s="11"/>
      <c r="D93" s="11"/>
      <c r="E93" s="11"/>
      <c r="F93" s="11"/>
      <c r="G93" s="11"/>
      <c r="H93" s="11"/>
      <c r="I93" s="11"/>
    </row>
    <row r="94" spans="1:9" ht="16.5">
      <c r="A94" s="11"/>
      <c r="B94" s="11"/>
      <c r="C94" s="11"/>
      <c r="D94" s="11"/>
      <c r="E94" s="11"/>
      <c r="F94" s="11"/>
      <c r="G94" s="11"/>
      <c r="H94" s="11"/>
      <c r="I94" s="11"/>
    </row>
    <row r="95" spans="1:9" ht="16.5">
      <c r="A95" s="11"/>
      <c r="B95" s="11"/>
      <c r="C95" s="11"/>
      <c r="D95" s="11"/>
      <c r="E95" s="11"/>
      <c r="F95" s="11"/>
      <c r="G95" s="11"/>
      <c r="H95" s="11"/>
      <c r="I95" s="11"/>
    </row>
    <row r="96" spans="1:9" ht="16.5">
      <c r="A96" s="11"/>
      <c r="B96" s="11"/>
      <c r="C96" s="11"/>
      <c r="D96" s="11"/>
      <c r="E96" s="11"/>
      <c r="F96" s="11"/>
      <c r="G96" s="11"/>
      <c r="H96" s="11"/>
      <c r="I96" s="11"/>
    </row>
    <row r="97" spans="1:9" ht="16.5">
      <c r="A97" s="11"/>
      <c r="B97" s="11"/>
      <c r="C97" s="11"/>
      <c r="D97" s="11"/>
      <c r="E97" s="11"/>
      <c r="F97" s="11"/>
      <c r="G97" s="11"/>
      <c r="H97" s="11"/>
      <c r="I97" s="11"/>
    </row>
    <row r="98" spans="1:9" ht="16.5">
      <c r="A98" s="11"/>
      <c r="B98" s="11"/>
      <c r="C98" s="11"/>
      <c r="D98" s="11"/>
      <c r="E98" s="11"/>
      <c r="F98" s="11"/>
      <c r="G98" s="11"/>
      <c r="H98" s="11"/>
      <c r="I98" s="11"/>
    </row>
    <row r="99" spans="1:9" ht="16.5">
      <c r="A99" s="11"/>
      <c r="B99" s="11"/>
      <c r="C99" s="11"/>
      <c r="D99" s="11"/>
      <c r="E99" s="11"/>
      <c r="F99" s="11"/>
      <c r="G99" s="11"/>
      <c r="H99" s="11"/>
      <c r="I99" s="11"/>
    </row>
    <row r="100" spans="1:9" ht="16.5">
      <c r="A100" s="11"/>
      <c r="B100" s="11"/>
      <c r="C100" s="11"/>
      <c r="D100" s="11"/>
      <c r="E100" s="11"/>
      <c r="F100" s="11"/>
      <c r="G100" s="11"/>
      <c r="H100" s="11"/>
      <c r="I100" s="11"/>
    </row>
    <row r="101" spans="1:9" ht="16.5">
      <c r="A101" s="11"/>
      <c r="B101" s="11"/>
      <c r="C101" s="11"/>
      <c r="D101" s="11"/>
      <c r="E101" s="11"/>
      <c r="F101" s="11"/>
      <c r="G101" s="11"/>
      <c r="H101" s="11"/>
      <c r="I101" s="11"/>
    </row>
    <row r="102" spans="1:9" ht="16.5">
      <c r="A102" s="11"/>
      <c r="B102" s="11"/>
      <c r="C102" s="11"/>
      <c r="D102" s="11"/>
      <c r="E102" s="11"/>
      <c r="F102" s="11"/>
      <c r="G102" s="11"/>
      <c r="H102" s="11"/>
      <c r="I102" s="11"/>
    </row>
    <row r="103" spans="1:9" ht="16.5">
      <c r="A103" s="11"/>
      <c r="B103" s="11"/>
      <c r="C103" s="11"/>
      <c r="D103" s="11"/>
      <c r="E103" s="11"/>
      <c r="F103" s="11"/>
      <c r="G103" s="11"/>
      <c r="H103" s="11"/>
      <c r="I103" s="11"/>
    </row>
    <row r="104" spans="1:9" ht="16.5">
      <c r="A104" s="11"/>
      <c r="B104" s="11"/>
      <c r="C104" s="11"/>
      <c r="D104" s="11"/>
      <c r="E104" s="11"/>
      <c r="F104" s="11"/>
      <c r="G104" s="11"/>
      <c r="H104" s="11"/>
      <c r="I104" s="11"/>
    </row>
    <row r="105" spans="1:9" ht="16.5">
      <c r="A105" s="11"/>
      <c r="B105" s="11"/>
      <c r="C105" s="11"/>
      <c r="D105" s="11"/>
      <c r="E105" s="11"/>
      <c r="F105" s="11"/>
      <c r="G105" s="11"/>
      <c r="H105" s="11"/>
      <c r="I105" s="11"/>
    </row>
    <row r="106" spans="1:9" ht="16.5">
      <c r="A106" s="11"/>
      <c r="B106" s="11"/>
      <c r="C106" s="11"/>
      <c r="D106" s="11"/>
      <c r="E106" s="11"/>
      <c r="F106" s="11"/>
      <c r="G106" s="11"/>
      <c r="H106" s="11"/>
      <c r="I106" s="11"/>
    </row>
    <row r="107" spans="1:9" ht="16.5">
      <c r="A107" s="11"/>
      <c r="B107" s="11"/>
      <c r="C107" s="11"/>
      <c r="D107" s="11"/>
      <c r="E107" s="11"/>
      <c r="F107" s="11"/>
      <c r="G107" s="11"/>
      <c r="H107" s="11"/>
      <c r="I107" s="11"/>
    </row>
  </sheetData>
  <pageMargins left="0.25" right="0.25" top="0.75" bottom="0.75" header="0.3" footer="0.3"/>
  <pageSetup scale="48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8509-4469-4CA1-837E-28DCE856C1A1}">
  <sheetPr>
    <tabColor rgb="FF92D050"/>
  </sheetPr>
  <dimension ref="A1:N48"/>
  <sheetViews>
    <sheetView view="pageBreakPreview" zoomScale="60" zoomScaleNormal="80" workbookViewId="0">
      <selection activeCell="E4" sqref="E4"/>
    </sheetView>
  </sheetViews>
  <sheetFormatPr defaultRowHeight="15"/>
  <cols>
    <col min="1" max="1" width="21.5703125" customWidth="1"/>
    <col min="2" max="2" width="45.7109375" customWidth="1"/>
    <col min="3" max="3" width="20.85546875" customWidth="1"/>
    <col min="4" max="4" width="24" customWidth="1"/>
    <col min="5" max="5" width="29.28515625" customWidth="1"/>
    <col min="6" max="6" width="25.5703125" customWidth="1"/>
    <col min="7" max="8" width="27.28515625" customWidth="1"/>
    <col min="9" max="9" width="18.7109375" customWidth="1"/>
    <col min="10" max="10" width="21.28515625" customWidth="1"/>
    <col min="11" max="11" width="4.42578125" customWidth="1"/>
    <col min="12" max="12" width="22.7109375" customWidth="1"/>
    <col min="13" max="13" width="17.28515625" customWidth="1"/>
  </cols>
  <sheetData>
    <row r="1" spans="1:14" ht="26.25">
      <c r="A1" s="22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7.25">
      <c r="A2" s="59" t="s">
        <v>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6.5">
      <c r="A3" s="24" t="s">
        <v>465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6.5">
      <c r="A4" s="11"/>
      <c r="C4" s="11"/>
      <c r="D4" s="11"/>
      <c r="E4" s="488" t="s">
        <v>0</v>
      </c>
      <c r="F4" s="11"/>
      <c r="G4" s="11"/>
      <c r="H4" s="11"/>
      <c r="I4" s="11"/>
      <c r="J4" s="11"/>
      <c r="K4" s="11"/>
      <c r="L4" s="11"/>
      <c r="M4" s="11"/>
      <c r="N4" s="11"/>
    </row>
    <row r="5" spans="1:14" ht="18" thickBot="1">
      <c r="A5" s="59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1" thickBot="1">
      <c r="A6" s="234" t="str">
        <f>+'S&amp;D'!A12</f>
        <v>Natural Gas Transmission Pipeline Carrier</v>
      </c>
      <c r="B6" s="164"/>
      <c r="C6" s="11"/>
      <c r="D6" s="11"/>
      <c r="E6" s="11"/>
      <c r="F6" s="11"/>
      <c r="G6" s="11"/>
      <c r="H6" s="11"/>
    </row>
    <row r="7" spans="1:14" ht="18" thickBot="1">
      <c r="A7" s="59"/>
      <c r="C7" s="11"/>
      <c r="D7" s="27"/>
      <c r="E7" s="27"/>
      <c r="F7" s="27"/>
      <c r="G7" s="11"/>
      <c r="H7" s="11"/>
    </row>
    <row r="8" spans="1:14" ht="26.25">
      <c r="C8" s="11"/>
      <c r="D8" s="11"/>
      <c r="E8" s="29" t="s">
        <v>353</v>
      </c>
      <c r="F8" s="11"/>
      <c r="G8" s="11"/>
      <c r="H8" s="11"/>
    </row>
    <row r="9" spans="1:14" ht="21" thickBot="1">
      <c r="B9" s="28"/>
      <c r="C9" s="11"/>
      <c r="D9" s="27"/>
      <c r="E9" s="30" t="s">
        <v>477</v>
      </c>
      <c r="F9" s="27"/>
      <c r="G9" s="11"/>
      <c r="H9" s="11"/>
    </row>
    <row r="10" spans="1:14" ht="17.25" thickBot="1">
      <c r="B10" s="31" t="s">
        <v>0</v>
      </c>
      <c r="C10" s="31" t="s">
        <v>0</v>
      </c>
      <c r="D10" s="31" t="s">
        <v>0</v>
      </c>
      <c r="E10" s="31" t="s">
        <v>0</v>
      </c>
      <c r="F10" s="31" t="s">
        <v>0</v>
      </c>
      <c r="G10" s="31" t="s">
        <v>0</v>
      </c>
      <c r="H10" s="27"/>
    </row>
    <row r="11" spans="1:14" ht="16.5">
      <c r="B11" s="32" t="s">
        <v>0</v>
      </c>
      <c r="C11" s="32" t="s">
        <v>3</v>
      </c>
      <c r="D11" s="32" t="s">
        <v>325</v>
      </c>
      <c r="E11" s="32" t="s">
        <v>326</v>
      </c>
      <c r="F11" s="32" t="s">
        <v>221</v>
      </c>
      <c r="G11" s="32" t="s">
        <v>352</v>
      </c>
      <c r="H11" s="32" t="s">
        <v>352</v>
      </c>
    </row>
    <row r="12" spans="1:14" ht="17.25" thickBot="1">
      <c r="B12" s="34" t="s">
        <v>2</v>
      </c>
      <c r="C12" s="34" t="s">
        <v>4</v>
      </c>
      <c r="D12" s="34" t="s">
        <v>27</v>
      </c>
      <c r="E12" s="34" t="s">
        <v>158</v>
      </c>
      <c r="F12" s="34" t="s">
        <v>354</v>
      </c>
      <c r="G12" s="34" t="s">
        <v>380</v>
      </c>
      <c r="H12" s="34" t="s">
        <v>28</v>
      </c>
    </row>
    <row r="13" spans="1:14">
      <c r="B13" s="36" t="s">
        <v>0</v>
      </c>
      <c r="C13" s="36" t="s">
        <v>0</v>
      </c>
      <c r="D13" s="37" t="s">
        <v>112</v>
      </c>
      <c r="E13" s="36" t="s">
        <v>113</v>
      </c>
      <c r="F13" s="36" t="s">
        <v>0</v>
      </c>
      <c r="G13" s="36" t="s">
        <v>113</v>
      </c>
      <c r="H13" s="36" t="s">
        <v>0</v>
      </c>
    </row>
    <row r="14" spans="1:14" ht="16.5">
      <c r="B14" s="32"/>
      <c r="C14" s="32"/>
      <c r="D14" s="32"/>
      <c r="E14" s="32"/>
      <c r="F14" s="32"/>
      <c r="G14" s="32"/>
      <c r="H14" s="32"/>
    </row>
    <row r="15" spans="1:14" ht="16.5">
      <c r="B15" s="11"/>
      <c r="C15" s="11"/>
      <c r="D15" s="11"/>
      <c r="E15" s="11"/>
      <c r="F15" s="11"/>
      <c r="G15" s="11"/>
      <c r="H15" s="11"/>
    </row>
    <row r="16" spans="1:14" ht="17.25">
      <c r="B16" s="59" t="str">
        <f>+'S&amp;D'!A22</f>
        <v>Enbridge Inc</v>
      </c>
      <c r="C16" s="86" t="str">
        <f>+'S&amp;D'!B22</f>
        <v>ENB.TO</v>
      </c>
      <c r="D16" s="161">
        <f>+'S&amp;D'!G22</f>
        <v>65.680000000000007</v>
      </c>
      <c r="E16" s="288">
        <v>25.6</v>
      </c>
      <c r="F16" s="321">
        <f t="shared" ref="F16:F19" si="0">D16/E16</f>
        <v>2.5656250000000003</v>
      </c>
      <c r="G16" s="288">
        <v>30.8</v>
      </c>
      <c r="H16" s="321">
        <f t="shared" ref="H16:H22" si="1">D16/G16</f>
        <v>2.1324675324675328</v>
      </c>
    </row>
    <row r="17" spans="2:8" ht="17.25">
      <c r="B17" s="59" t="str">
        <f>+'S&amp;D'!A23</f>
        <v>Energy Transfer LP</v>
      </c>
      <c r="C17" s="86" t="str">
        <f>+'S&amp;D'!B23</f>
        <v>ET</v>
      </c>
      <c r="D17" s="161">
        <f>+'S&amp;D'!G23</f>
        <v>16.489999999999998</v>
      </c>
      <c r="E17" s="288">
        <v>25.7</v>
      </c>
      <c r="F17" s="321">
        <f t="shared" si="0"/>
        <v>0.64163424124513613</v>
      </c>
      <c r="G17" s="288">
        <v>9.85</v>
      </c>
      <c r="H17" s="321">
        <f t="shared" si="1"/>
        <v>1.6741116751269034</v>
      </c>
    </row>
    <row r="18" spans="2:8" ht="17.25">
      <c r="B18" s="59" t="str">
        <f>+'S&amp;D'!A24</f>
        <v>Enterprise Products Partnership LP</v>
      </c>
      <c r="C18" s="86" t="str">
        <f>+'S&amp;D'!B24</f>
        <v>EPD</v>
      </c>
      <c r="D18" s="161">
        <f>+'S&amp;D'!G24</f>
        <v>32.06</v>
      </c>
      <c r="E18" s="288">
        <v>24.55</v>
      </c>
      <c r="F18" s="321">
        <f t="shared" si="0"/>
        <v>1.3059063136456213</v>
      </c>
      <c r="G18" s="288">
        <v>14.05</v>
      </c>
      <c r="H18" s="321">
        <f t="shared" si="1"/>
        <v>2.2818505338078294</v>
      </c>
    </row>
    <row r="19" spans="2:8" ht="17.25">
      <c r="B19" s="59" t="str">
        <f>+'S&amp;D'!A25</f>
        <v>Kinder Morgan Inc</v>
      </c>
      <c r="C19" s="86" t="str">
        <f>+'S&amp;D'!B25</f>
        <v>KMI</v>
      </c>
      <c r="D19" s="161">
        <f>+'S&amp;D'!G25</f>
        <v>27.49</v>
      </c>
      <c r="E19" s="288">
        <v>8.1999999999999993</v>
      </c>
      <c r="F19" s="321">
        <f t="shared" si="0"/>
        <v>3.352439024390244</v>
      </c>
      <c r="G19" s="288">
        <v>14.35</v>
      </c>
      <c r="H19" s="321">
        <f t="shared" si="1"/>
        <v>1.9156794425087107</v>
      </c>
    </row>
    <row r="20" spans="2:8" ht="17.25">
      <c r="B20" s="59" t="str">
        <f>+'S&amp;D'!A26</f>
        <v>ONEOK Inc</v>
      </c>
      <c r="C20" s="86" t="str">
        <f>+'S&amp;D'!B26</f>
        <v>OKE</v>
      </c>
      <c r="D20" s="161">
        <f>+'S&amp;D'!G26</f>
        <v>73.5</v>
      </c>
      <c r="E20" s="288">
        <v>52.75</v>
      </c>
      <c r="F20" s="321">
        <f t="shared" ref="F20:F22" si="2">D20/E20</f>
        <v>1.3933649289099526</v>
      </c>
      <c r="G20" s="288">
        <v>37.799999999999997</v>
      </c>
      <c r="H20" s="321">
        <f t="shared" si="1"/>
        <v>1.9444444444444446</v>
      </c>
    </row>
    <row r="21" spans="2:8" ht="17.25">
      <c r="B21" s="59" t="str">
        <f>+'S&amp;D'!A27</f>
        <v>TC Energy Corp</v>
      </c>
      <c r="C21" s="86" t="str">
        <f>+'S&amp;D'!B27</f>
        <v>TRP</v>
      </c>
      <c r="D21" s="161">
        <f>+'S&amp;D'!G27</f>
        <v>55.01</v>
      </c>
      <c r="E21" s="288">
        <v>11.85</v>
      </c>
      <c r="F21" s="321">
        <f t="shared" si="2"/>
        <v>4.6421940928270038</v>
      </c>
      <c r="G21" s="288">
        <v>22.75</v>
      </c>
      <c r="H21" s="321">
        <f t="shared" si="1"/>
        <v>2.418021978021978</v>
      </c>
    </row>
    <row r="22" spans="2:8" ht="17.25">
      <c r="B22" s="59" t="str">
        <f>+'S&amp;D'!A28</f>
        <v>Williams Companys Inc</v>
      </c>
      <c r="C22" s="86" t="str">
        <f>+'S&amp;D'!B28</f>
        <v>WMB</v>
      </c>
      <c r="D22" s="161">
        <f>+'S&amp;D'!G28</f>
        <v>60.11</v>
      </c>
      <c r="E22" s="288">
        <v>10.8</v>
      </c>
      <c r="F22" s="321">
        <f t="shared" si="2"/>
        <v>5.5657407407407407</v>
      </c>
      <c r="G22" s="288">
        <v>9.8000000000000007</v>
      </c>
      <c r="H22" s="321">
        <f t="shared" si="1"/>
        <v>6.1336734693877544</v>
      </c>
    </row>
    <row r="23" spans="2:8" ht="11.25" customHeight="1" thickBot="1">
      <c r="B23" s="11"/>
      <c r="C23" s="66"/>
      <c r="D23" s="66"/>
      <c r="E23" s="66"/>
      <c r="F23" s="322"/>
      <c r="G23" s="66"/>
      <c r="H23" s="322"/>
    </row>
    <row r="24" spans="2:8" ht="17.25" thickTop="1">
      <c r="B24" s="11"/>
      <c r="D24" s="13" t="s">
        <v>45</v>
      </c>
      <c r="E24" s="67"/>
      <c r="F24" s="67">
        <f>MAX(F16:F22)</f>
        <v>5.5657407407407407</v>
      </c>
      <c r="G24" s="67"/>
      <c r="H24" s="67">
        <f>MAX(H16:H22)</f>
        <v>6.1336734693877544</v>
      </c>
    </row>
    <row r="25" spans="2:8" ht="16.5">
      <c r="B25" s="11"/>
      <c r="D25" s="303" t="s">
        <v>46</v>
      </c>
      <c r="E25" s="306"/>
      <c r="F25" s="306">
        <f t="shared" ref="F25:H25" si="3">MIN(F16:F22)</f>
        <v>0.64163424124513613</v>
      </c>
      <c r="G25" s="306"/>
      <c r="H25" s="306">
        <f t="shared" si="3"/>
        <v>1.6741116751269034</v>
      </c>
    </row>
    <row r="26" spans="2:8" ht="16.5">
      <c r="B26" s="11"/>
      <c r="D26" s="13" t="s">
        <v>18</v>
      </c>
      <c r="E26" s="68" t="s">
        <v>0</v>
      </c>
      <c r="F26" s="20">
        <f>MEDIAN(F16:F22)</f>
        <v>2.5656250000000003</v>
      </c>
      <c r="G26" s="68" t="s">
        <v>0</v>
      </c>
      <c r="H26" s="17">
        <f>MEDIAN(H16:H22)</f>
        <v>2.1324675324675328</v>
      </c>
    </row>
    <row r="27" spans="2:8" ht="16.5">
      <c r="B27" s="11"/>
      <c r="D27" s="13" t="s">
        <v>387</v>
      </c>
      <c r="E27" s="16" t="s">
        <v>0</v>
      </c>
      <c r="F27" s="18">
        <f>AVERAGE(F16:F22)</f>
        <v>2.7809863345369572</v>
      </c>
      <c r="G27" s="16" t="s">
        <v>0</v>
      </c>
      <c r="H27" s="17">
        <f>AVERAGE(H16:H22)</f>
        <v>2.6428927251093079</v>
      </c>
    </row>
    <row r="28" spans="2:8" ht="16.5">
      <c r="B28" s="11"/>
      <c r="C28" s="11"/>
      <c r="D28" s="11"/>
      <c r="E28" s="11"/>
      <c r="F28" s="11"/>
      <c r="G28" s="11"/>
      <c r="H28" s="11"/>
    </row>
    <row r="29" spans="2:8" ht="16.5">
      <c r="B29" s="11"/>
      <c r="C29" s="11"/>
      <c r="D29" s="11"/>
      <c r="E29" s="11"/>
      <c r="F29" s="11"/>
      <c r="G29" s="11"/>
      <c r="H29" s="11"/>
    </row>
    <row r="30" spans="2:8" ht="17.25" thickBot="1">
      <c r="B30" s="11"/>
      <c r="C30" s="11"/>
      <c r="D30" s="11"/>
      <c r="E30" s="11"/>
      <c r="F30" s="11"/>
      <c r="H30" s="11"/>
    </row>
    <row r="31" spans="2:8" ht="27" thickBot="1">
      <c r="B31" s="71" t="s">
        <v>0</v>
      </c>
      <c r="C31" s="11"/>
      <c r="D31" s="22" t="s">
        <v>118</v>
      </c>
      <c r="E31" s="22"/>
      <c r="F31" s="208">
        <v>2.78</v>
      </c>
      <c r="H31" s="208">
        <v>2.64</v>
      </c>
    </row>
    <row r="32" spans="2:8" ht="16.5">
      <c r="B32" s="71" t="s">
        <v>0</v>
      </c>
      <c r="C32" s="11"/>
      <c r="D32" s="11"/>
      <c r="E32" s="11"/>
      <c r="F32" s="11"/>
      <c r="H32" s="11"/>
    </row>
    <row r="33" spans="1:14" ht="16.5">
      <c r="B33" s="71"/>
      <c r="C33" s="11"/>
      <c r="D33" s="11"/>
      <c r="E33" s="11"/>
      <c r="F33" s="11"/>
      <c r="H33" s="11"/>
    </row>
    <row r="34" spans="1:14" ht="17.25">
      <c r="A34" s="102" t="s">
        <v>355</v>
      </c>
      <c r="B34" s="71"/>
      <c r="C34" s="11"/>
      <c r="D34" s="11"/>
      <c r="E34" s="11"/>
      <c r="F34" s="11"/>
      <c r="H34" s="11"/>
    </row>
    <row r="35" spans="1:14" ht="17.25">
      <c r="A35" s="102" t="s">
        <v>330</v>
      </c>
      <c r="B35" s="71"/>
      <c r="C35" s="11"/>
      <c r="D35" s="11"/>
      <c r="E35" s="11"/>
      <c r="F35" s="11"/>
      <c r="G35" s="11"/>
      <c r="H35" s="11"/>
    </row>
    <row r="36" spans="1:14" ht="16.5">
      <c r="B36" s="71"/>
      <c r="C36" s="11"/>
      <c r="D36" s="11"/>
      <c r="E36" s="11"/>
      <c r="F36" s="11"/>
      <c r="G36" s="11"/>
      <c r="H36" s="11"/>
    </row>
    <row r="37" spans="1:14" ht="17.25">
      <c r="A37" s="102" t="s">
        <v>356</v>
      </c>
      <c r="B37" s="71"/>
      <c r="C37" s="11"/>
      <c r="D37" s="11"/>
      <c r="E37" s="11"/>
      <c r="F37" s="11"/>
      <c r="G37" s="11"/>
      <c r="H37" s="11"/>
    </row>
    <row r="38" spans="1:14" ht="17.25">
      <c r="A38" s="102" t="s">
        <v>328</v>
      </c>
      <c r="B38" s="71"/>
      <c r="C38" s="11"/>
      <c r="D38" s="11"/>
      <c r="E38" s="11"/>
      <c r="F38" s="11"/>
      <c r="G38" s="11"/>
      <c r="H38" s="11"/>
    </row>
    <row r="39" spans="1:14" ht="17.25">
      <c r="A39" s="102" t="s">
        <v>329</v>
      </c>
      <c r="B39" s="71"/>
      <c r="C39" s="11"/>
      <c r="D39" s="11"/>
      <c r="E39" s="11"/>
      <c r="F39" s="11"/>
      <c r="G39" s="11"/>
      <c r="H39" s="11"/>
    </row>
    <row r="40" spans="1:14" ht="16.5"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</row>
    <row r="41" spans="1:14" ht="16.5"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</row>
    <row r="42" spans="1:14" ht="16.5">
      <c r="B42" s="71"/>
      <c r="C42" s="11"/>
      <c r="D42" s="11"/>
      <c r="E42" s="11"/>
      <c r="F42" s="11"/>
      <c r="G42" s="11"/>
      <c r="H42" s="11"/>
    </row>
    <row r="46" spans="1:14" ht="17.25">
      <c r="A46" s="102"/>
      <c r="B46" s="246"/>
      <c r="C46" s="245" t="s">
        <v>0</v>
      </c>
    </row>
    <row r="47" spans="1:14" ht="17.25">
      <c r="C47" s="245" t="s">
        <v>0</v>
      </c>
    </row>
    <row r="48" spans="1:14" ht="17.25">
      <c r="C48" s="245" t="s">
        <v>0</v>
      </c>
    </row>
  </sheetData>
  <pageMargins left="0.25" right="0.25" top="0.75" bottom="0.75" header="0.3" footer="0.3"/>
  <pageSetup scale="4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"/>
  <sheetViews>
    <sheetView tabSelected="1" topLeftCell="M1" workbookViewId="0">
      <selection activeCell="P1" sqref="P1"/>
    </sheetView>
  </sheetViews>
  <sheetFormatPr defaultRowHeight="1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CFB36B36E7EE46B860E7832FBC9DDB" ma:contentTypeVersion="2" ma:contentTypeDescription="Create a new document." ma:contentTypeScope="" ma:versionID="ec2d75d9a8c4cef51587de69844c551b">
  <xsd:schema xmlns:xsd="http://www.w3.org/2001/XMLSchema" xmlns:xs="http://www.w3.org/2001/XMLSchema" xmlns:p="http://schemas.microsoft.com/office/2006/metadata/properties" xmlns:ns2="f94b9277-b0a3-4d91-bade-04ea91219630" targetNamespace="http://schemas.microsoft.com/office/2006/metadata/properties" ma:root="true" ma:fieldsID="f6cdb8ae0f1f69c1a84b5b8d147db9a2" ns2:_="">
    <xsd:import namespace="f94b9277-b0a3-4d91-bade-04ea91219630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4b9277-b0a3-4d91-bade-04ea9121963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5BDC16-24D8-4A68-847D-57FAB7A98AE3}"/>
</file>

<file path=customXml/itemProps2.xml><?xml version="1.0" encoding="utf-8"?>
<ds:datastoreItem xmlns:ds="http://schemas.openxmlformats.org/officeDocument/2006/customXml" ds:itemID="{46401F45-26F9-4CFB-8096-5B0BA8510522}"/>
</file>

<file path=customXml/itemProps3.xml><?xml version="1.0" encoding="utf-8"?>
<ds:datastoreItem xmlns:ds="http://schemas.openxmlformats.org/officeDocument/2006/customXml" ds:itemID="{75D0DCA6-173B-4373-982B-C3DE4DE3DC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18</vt:i4>
      </vt:variant>
    </vt:vector>
  </HeadingPairs>
  <TitlesOfParts>
    <vt:vector size="37" baseType="lpstr">
      <vt:lpstr>Cover Sheet</vt:lpstr>
      <vt:lpstr>Yield CapRate</vt:lpstr>
      <vt:lpstr>Direct CapRates</vt:lpstr>
      <vt:lpstr>S&amp;D</vt:lpstr>
      <vt:lpstr>Market to Book Ratios</vt:lpstr>
      <vt:lpstr>Maintenance CapEx</vt:lpstr>
      <vt:lpstr>Beta for CAPM</vt:lpstr>
      <vt:lpstr>Dividends </vt:lpstr>
      <vt:lpstr>Earnings</vt:lpstr>
      <vt:lpstr>Debt</vt:lpstr>
      <vt:lpstr>Direct GCF</vt:lpstr>
      <vt:lpstr>Direct NOPAT</vt:lpstr>
      <vt:lpstr>CAPM</vt:lpstr>
      <vt:lpstr>Growth &amp; Inflation Rates</vt:lpstr>
      <vt:lpstr>Indicated Yield Equity Rate </vt:lpstr>
      <vt:lpstr>Single Stage Div Growth Model</vt:lpstr>
      <vt:lpstr>Two-Stage Div Growth Model</vt:lpstr>
      <vt:lpstr>Multiples</vt:lpstr>
      <vt:lpstr>Info</vt:lpstr>
      <vt:lpstr>'Beta for CAPM'!Print_Area</vt:lpstr>
      <vt:lpstr>CAPM!Print_Area</vt:lpstr>
      <vt:lpstr>'Cover Sheet'!Print_Area</vt:lpstr>
      <vt:lpstr>Debt!Print_Area</vt:lpstr>
      <vt:lpstr>'Direct CapRates'!Print_Area</vt:lpstr>
      <vt:lpstr>'Direct GCF'!Print_Area</vt:lpstr>
      <vt:lpstr>'Direct NOPAT'!Print_Area</vt:lpstr>
      <vt:lpstr>'Dividends '!Print_Area</vt:lpstr>
      <vt:lpstr>Earnings!Print_Area</vt:lpstr>
      <vt:lpstr>'Growth &amp; Inflation Rates'!Print_Area</vt:lpstr>
      <vt:lpstr>'Indicated Yield Equity Rate '!Print_Area</vt:lpstr>
      <vt:lpstr>'Maintenance CapEx'!Print_Area</vt:lpstr>
      <vt:lpstr>'Market to Book Ratios'!Print_Area</vt:lpstr>
      <vt:lpstr>Multiples!Print_Area</vt:lpstr>
      <vt:lpstr>'S&amp;D'!Print_Area</vt:lpstr>
      <vt:lpstr>'Single Stage Div Growth Model'!Print_Area</vt:lpstr>
      <vt:lpstr>'Two-Stage Div Growth Model'!Print_Area</vt:lpstr>
      <vt:lpstr>'Yield CapRate'!Print_Area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Cap Rate Study - Natural Gas Transmission Pipelines</dc:title>
  <dc:creator>%USERNAME%</dc:creator>
  <cp:lastModifiedBy>Sheeks, David (DOR)</cp:lastModifiedBy>
  <cp:lastPrinted>2023-05-30T17:10:49Z</cp:lastPrinted>
  <dcterms:created xsi:type="dcterms:W3CDTF">2016-02-12T19:29:24Z</dcterms:created>
  <dcterms:modified xsi:type="dcterms:W3CDTF">2026-09-21T15:32:51Z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0x01010019CFB36B36E7EE46B860E7832FBC9DDB</vt:lpwstr>
  </property>
</Properties>
</file>